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'Sheet1'!$A$2:$L$124</definedName>
  </definedNames>
  <calcPr fullCalcOnLoad="1"/>
</workbook>
</file>

<file path=xl/sharedStrings.xml><?xml version="1.0" encoding="utf-8"?>
<sst xmlns="http://schemas.openxmlformats.org/spreadsheetml/2006/main" count="431" uniqueCount="87">
  <si>
    <t>利辛县2021年县直公立医疗机构公开招聘工作人员拟录用人员名单</t>
  </si>
  <si>
    <t>序号</t>
  </si>
  <si>
    <t>岗位代码</t>
  </si>
  <si>
    <t>岗位名称</t>
  </si>
  <si>
    <t>姓名</t>
  </si>
  <si>
    <t>性别</t>
  </si>
  <si>
    <t>准考证号</t>
  </si>
  <si>
    <t>笔试成绩（总分120分）</t>
  </si>
  <si>
    <t>面试成绩（总分100分）</t>
  </si>
  <si>
    <t>合成成绩（总分100分）</t>
  </si>
  <si>
    <t>体检结果</t>
  </si>
  <si>
    <t>政审结果</t>
  </si>
  <si>
    <t>备注</t>
  </si>
  <si>
    <t>西医临床医生</t>
  </si>
  <si>
    <t>202105091006</t>
  </si>
  <si>
    <t>合格</t>
  </si>
  <si>
    <t>202105091026</t>
  </si>
  <si>
    <t>202105091012</t>
  </si>
  <si>
    <t>202105091008</t>
  </si>
  <si>
    <t>202105091023</t>
  </si>
  <si>
    <t>202105091002</t>
  </si>
  <si>
    <t>202105091024</t>
  </si>
  <si>
    <t>202105091017</t>
  </si>
  <si>
    <t>202105091013</t>
  </si>
  <si>
    <t>202105091011</t>
  </si>
  <si>
    <t>202105091001</t>
  </si>
  <si>
    <t>递补</t>
  </si>
  <si>
    <t>202105091014</t>
  </si>
  <si>
    <t>病理技师</t>
  </si>
  <si>
    <t>202105091104</t>
  </si>
  <si>
    <t>护理人员</t>
  </si>
  <si>
    <t>202105092205</t>
  </si>
  <si>
    <t>202105093025</t>
  </si>
  <si>
    <t>202105092515</t>
  </si>
  <si>
    <t>202105092430</t>
  </si>
  <si>
    <t>202105092520</t>
  </si>
  <si>
    <t>202105092627</t>
  </si>
  <si>
    <t>202105092614</t>
  </si>
  <si>
    <t>202105092630</t>
  </si>
  <si>
    <t>202105092129</t>
  </si>
  <si>
    <t>202105092418</t>
  </si>
  <si>
    <t>202105093218</t>
  </si>
  <si>
    <t>202105093305</t>
  </si>
  <si>
    <t>202105093115</t>
  </si>
  <si>
    <t>202105093318</t>
  </si>
  <si>
    <t>202105093323</t>
  </si>
  <si>
    <t>助产人员</t>
  </si>
  <si>
    <t>202105093413</t>
  </si>
  <si>
    <t>检验人员</t>
  </si>
  <si>
    <t>202105091114</t>
  </si>
  <si>
    <t>康复治疗师</t>
  </si>
  <si>
    <t>202105091121</t>
  </si>
  <si>
    <t>202105091122</t>
  </si>
  <si>
    <t>临床医生</t>
  </si>
  <si>
    <t>康复医生</t>
  </si>
  <si>
    <t>药学人员</t>
  </si>
  <si>
    <t>康复技师</t>
  </si>
  <si>
    <t>护理岗位</t>
  </si>
  <si>
    <t>卫生管理</t>
  </si>
  <si>
    <t>财务管理</t>
  </si>
  <si>
    <t>设备管理</t>
  </si>
  <si>
    <t>信息人员</t>
  </si>
  <si>
    <t>医保结算人员</t>
  </si>
  <si>
    <t>崔玉洁</t>
  </si>
  <si>
    <t>女</t>
  </si>
  <si>
    <t>202105094908</t>
  </si>
  <si>
    <t>影像人员</t>
  </si>
  <si>
    <t>药剂人员</t>
  </si>
  <si>
    <t>财务人员</t>
  </si>
  <si>
    <t>设备维修人员</t>
  </si>
  <si>
    <t>后勤人员</t>
  </si>
  <si>
    <t>中医临床医生</t>
  </si>
  <si>
    <t>202105091813</t>
  </si>
  <si>
    <t>202105091816</t>
  </si>
  <si>
    <t>202105091720</t>
  </si>
  <si>
    <t>202105091722</t>
  </si>
  <si>
    <t>麻醉医生</t>
  </si>
  <si>
    <t>202105091726</t>
  </si>
  <si>
    <t>口腔医生</t>
  </si>
  <si>
    <t>202105091817</t>
  </si>
  <si>
    <t>眼科医生</t>
  </si>
  <si>
    <t>202105091823</t>
  </si>
  <si>
    <t>202105095427</t>
  </si>
  <si>
    <t>202105095428</t>
  </si>
  <si>
    <t>202105095604</t>
  </si>
  <si>
    <t>202105095616</t>
  </si>
  <si>
    <t>202105091825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</si>
</sst>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</numFmts>
  <fonts count="45">
    <font>
      <sz val="12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176" fontId="43" fillId="0" borderId="9" xfId="63" applyNumberFormat="1" applyFont="1" applyFill="1" applyBorder="1" applyAlignment="1">
      <alignment horizontal="center" vertical="center"/>
      <protection/>
    </xf>
    <xf numFmtId="0" fontId="43" fillId="0" borderId="9" xfId="0" applyFont="1" applyFill="1" applyBorder="1" applyAlignment="1">
      <alignment horizontal="center" vertical="center"/>
    </xf>
    <xf numFmtId="176" fontId="43" fillId="0" borderId="9" xfId="63" applyNumberFormat="1" applyFont="1" applyFill="1" applyBorder="1" applyAlignment="1">
      <alignment horizontal="center" vertical="center"/>
      <protection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7" fontId="44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178" fontId="44" fillId="0" borderId="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/>
    </xf>
    <xf numFmtId="178" fontId="43" fillId="0" borderId="9" xfId="63" applyNumberFormat="1" applyFont="1" applyFill="1" applyBorder="1" applyAlignment="1">
      <alignment horizontal="center" vertical="center"/>
      <protection/>
    </xf>
    <xf numFmtId="0" fontId="44" fillId="0" borderId="9" xfId="0" applyFont="1" applyFill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/>
    </xf>
    <xf numFmtId="178" fontId="44" fillId="0" borderId="9" xfId="0" applyNumberFormat="1" applyFont="1" applyFill="1" applyBorder="1" applyAlignment="1">
      <alignment horizontal="center" vertical="center"/>
    </xf>
    <xf numFmtId="0" fontId="43" fillId="0" borderId="9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4"/>
  <sheetViews>
    <sheetView tabSelected="1" zoomScaleSheetLayoutView="100" workbookViewId="0" topLeftCell="A1">
      <pane ySplit="2" topLeftCell="A3" activePane="bottomLeft" state="frozen"/>
      <selection pane="bottomLeft" activeCell="D3" sqref="D3"/>
    </sheetView>
  </sheetViews>
  <sheetFormatPr defaultColWidth="9.00390625" defaultRowHeight="14.25"/>
  <cols>
    <col min="1" max="1" width="5.125" style="0" customWidth="1"/>
    <col min="2" max="2" width="8.75390625" style="0" customWidth="1"/>
    <col min="3" max="3" width="11.875" style="0" customWidth="1"/>
    <col min="4" max="4" width="7.875" style="1" customWidth="1"/>
    <col min="5" max="5" width="7.00390625" style="0" customWidth="1"/>
    <col min="6" max="6" width="11.375" style="0" customWidth="1"/>
    <col min="7" max="9" width="11.125" style="0" customWidth="1"/>
  </cols>
  <sheetData>
    <row r="1" spans="1:12" ht="24">
      <c r="A1" s="2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  <c r="L1" s="3"/>
    </row>
    <row r="2" spans="1:12" ht="2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ht="21.75" customHeight="1">
      <c r="A3" s="6">
        <v>1</v>
      </c>
      <c r="B3" s="7">
        <v>101</v>
      </c>
      <c r="C3" s="6" t="s">
        <v>13</v>
      </c>
      <c r="D3" s="6" t="str">
        <f>"盛亚庆"</f>
        <v>盛亚庆</v>
      </c>
      <c r="E3" s="6" t="str">
        <f aca="true" t="shared" si="0" ref="E3:E8">"男"</f>
        <v>男</v>
      </c>
      <c r="F3" s="6" t="s">
        <v>14</v>
      </c>
      <c r="G3" s="8">
        <v>98.2</v>
      </c>
      <c r="H3" s="8">
        <v>76.2</v>
      </c>
      <c r="I3" s="16">
        <v>80.14333333333335</v>
      </c>
      <c r="J3" s="16" t="s">
        <v>15</v>
      </c>
      <c r="K3" s="16" t="s">
        <v>15</v>
      </c>
      <c r="L3" s="6"/>
    </row>
    <row r="4" spans="1:12" ht="21.75" customHeight="1">
      <c r="A4" s="6">
        <v>2</v>
      </c>
      <c r="B4" s="7">
        <v>101</v>
      </c>
      <c r="C4" s="6" t="s">
        <v>13</v>
      </c>
      <c r="D4" s="6" t="str">
        <f>"张奎一"</f>
        <v>张奎一</v>
      </c>
      <c r="E4" s="6" t="str">
        <f t="shared" si="0"/>
        <v>男</v>
      </c>
      <c r="F4" s="6" t="s">
        <v>16</v>
      </c>
      <c r="G4" s="8">
        <v>97</v>
      </c>
      <c r="H4" s="8">
        <v>76.08</v>
      </c>
      <c r="I4" s="16">
        <v>79.40733333333333</v>
      </c>
      <c r="J4" s="16" t="s">
        <v>15</v>
      </c>
      <c r="K4" s="16" t="s">
        <v>15</v>
      </c>
      <c r="L4" s="6"/>
    </row>
    <row r="5" spans="1:12" ht="21.75" customHeight="1">
      <c r="A5" s="6">
        <v>3</v>
      </c>
      <c r="B5" s="7">
        <v>101</v>
      </c>
      <c r="C5" s="6" t="s">
        <v>13</v>
      </c>
      <c r="D5" s="6" t="str">
        <f>"武佳惠"</f>
        <v>武佳惠</v>
      </c>
      <c r="E5" s="6" t="str">
        <f aca="true" t="shared" si="1" ref="E5:E10">"女"</f>
        <v>女</v>
      </c>
      <c r="F5" s="6" t="s">
        <v>17</v>
      </c>
      <c r="G5" s="8">
        <v>91.6</v>
      </c>
      <c r="H5" s="8">
        <v>78.46</v>
      </c>
      <c r="I5" s="16">
        <v>76.97133333333332</v>
      </c>
      <c r="J5" s="16" t="s">
        <v>15</v>
      </c>
      <c r="K5" s="16" t="s">
        <v>15</v>
      </c>
      <c r="L5" s="6"/>
    </row>
    <row r="6" spans="1:12" ht="21.75" customHeight="1">
      <c r="A6" s="6">
        <v>4</v>
      </c>
      <c r="B6" s="7">
        <v>101</v>
      </c>
      <c r="C6" s="6" t="s">
        <v>13</v>
      </c>
      <c r="D6" s="6" t="str">
        <f>"王娜娜"</f>
        <v>王娜娜</v>
      </c>
      <c r="E6" s="6" t="str">
        <f t="shared" si="1"/>
        <v>女</v>
      </c>
      <c r="F6" s="6" t="s">
        <v>18</v>
      </c>
      <c r="G6" s="8">
        <v>85.4</v>
      </c>
      <c r="H6" s="8">
        <v>82.84</v>
      </c>
      <c r="I6" s="16">
        <v>74.66866666666667</v>
      </c>
      <c r="J6" s="16" t="s">
        <v>15</v>
      </c>
      <c r="K6" s="16" t="s">
        <v>15</v>
      </c>
      <c r="L6" s="6"/>
    </row>
    <row r="7" spans="1:12" ht="21.75" customHeight="1">
      <c r="A7" s="6">
        <v>5</v>
      </c>
      <c r="B7" s="7">
        <v>101</v>
      </c>
      <c r="C7" s="6" t="s">
        <v>13</v>
      </c>
      <c r="D7" s="6" t="str">
        <f>"邵海文"</f>
        <v>邵海文</v>
      </c>
      <c r="E7" s="6" t="str">
        <f t="shared" si="0"/>
        <v>男</v>
      </c>
      <c r="F7" s="6" t="s">
        <v>19</v>
      </c>
      <c r="G7" s="8">
        <v>86.1</v>
      </c>
      <c r="H7" s="8">
        <v>80.3</v>
      </c>
      <c r="I7" s="16">
        <v>74.315</v>
      </c>
      <c r="J7" s="16" t="s">
        <v>15</v>
      </c>
      <c r="K7" s="16" t="s">
        <v>15</v>
      </c>
      <c r="L7" s="6"/>
    </row>
    <row r="8" spans="1:12" ht="21.75" customHeight="1">
      <c r="A8" s="6">
        <v>6</v>
      </c>
      <c r="B8" s="7">
        <v>101</v>
      </c>
      <c r="C8" s="6" t="s">
        <v>13</v>
      </c>
      <c r="D8" s="6" t="str">
        <f>"沈振振"</f>
        <v>沈振振</v>
      </c>
      <c r="E8" s="6" t="str">
        <f t="shared" si="0"/>
        <v>男</v>
      </c>
      <c r="F8" s="6" t="s">
        <v>20</v>
      </c>
      <c r="G8" s="8">
        <v>85.4</v>
      </c>
      <c r="H8" s="8">
        <v>77.92</v>
      </c>
      <c r="I8" s="16">
        <v>73.19266666666667</v>
      </c>
      <c r="J8" s="16" t="s">
        <v>15</v>
      </c>
      <c r="K8" s="16" t="s">
        <v>15</v>
      </c>
      <c r="L8" s="6"/>
    </row>
    <row r="9" spans="1:12" ht="21.75" customHeight="1">
      <c r="A9" s="6">
        <v>7</v>
      </c>
      <c r="B9" s="7">
        <v>101</v>
      </c>
      <c r="C9" s="6" t="s">
        <v>13</v>
      </c>
      <c r="D9" s="6" t="str">
        <f>"李晨晨"</f>
        <v>李晨晨</v>
      </c>
      <c r="E9" s="6" t="str">
        <f t="shared" si="1"/>
        <v>女</v>
      </c>
      <c r="F9" s="6" t="s">
        <v>21</v>
      </c>
      <c r="G9" s="8">
        <v>83.9</v>
      </c>
      <c r="H9" s="8">
        <v>76.68</v>
      </c>
      <c r="I9" s="16">
        <v>71.94566666666667</v>
      </c>
      <c r="J9" s="16" t="s">
        <v>15</v>
      </c>
      <c r="K9" s="16" t="s">
        <v>15</v>
      </c>
      <c r="L9" s="6"/>
    </row>
    <row r="10" spans="1:12" ht="21.75" customHeight="1">
      <c r="A10" s="6">
        <v>8</v>
      </c>
      <c r="B10" s="7">
        <v>101</v>
      </c>
      <c r="C10" s="6" t="s">
        <v>13</v>
      </c>
      <c r="D10" s="6" t="str">
        <f>"李沐霖"</f>
        <v>李沐霖</v>
      </c>
      <c r="E10" s="6" t="str">
        <f t="shared" si="1"/>
        <v>女</v>
      </c>
      <c r="F10" s="6" t="s">
        <v>22</v>
      </c>
      <c r="G10" s="8">
        <v>79.9</v>
      </c>
      <c r="H10" s="8">
        <v>83.2</v>
      </c>
      <c r="I10" s="16">
        <v>71.56833333333333</v>
      </c>
      <c r="J10" s="16" t="s">
        <v>15</v>
      </c>
      <c r="K10" s="16" t="s">
        <v>15</v>
      </c>
      <c r="L10" s="6"/>
    </row>
    <row r="11" spans="1:12" ht="21.75" customHeight="1">
      <c r="A11" s="6">
        <v>9</v>
      </c>
      <c r="B11" s="7">
        <v>101</v>
      </c>
      <c r="C11" s="6" t="s">
        <v>13</v>
      </c>
      <c r="D11" s="6" t="str">
        <f>"祝林"</f>
        <v>祝林</v>
      </c>
      <c r="E11" s="6" t="str">
        <f aca="true" t="shared" si="2" ref="E11:E14">"男"</f>
        <v>男</v>
      </c>
      <c r="F11" s="6" t="s">
        <v>23</v>
      </c>
      <c r="G11" s="8">
        <v>81.8</v>
      </c>
      <c r="H11" s="8">
        <v>73</v>
      </c>
      <c r="I11" s="16">
        <v>69.61666666666667</v>
      </c>
      <c r="J11" s="16" t="s">
        <v>15</v>
      </c>
      <c r="K11" s="16" t="s">
        <v>15</v>
      </c>
      <c r="L11" s="6"/>
    </row>
    <row r="12" spans="1:12" ht="21.75" customHeight="1">
      <c r="A12" s="6">
        <v>10</v>
      </c>
      <c r="B12" s="7">
        <v>101</v>
      </c>
      <c r="C12" s="6" t="s">
        <v>13</v>
      </c>
      <c r="D12" s="6" t="str">
        <f>"潘光冲"</f>
        <v>潘光冲</v>
      </c>
      <c r="E12" s="6" t="str">
        <f t="shared" si="2"/>
        <v>男</v>
      </c>
      <c r="F12" s="6" t="s">
        <v>24</v>
      </c>
      <c r="G12" s="8">
        <v>79.30000000000001</v>
      </c>
      <c r="H12" s="8">
        <v>72.36</v>
      </c>
      <c r="I12" s="16">
        <v>67.96633333333334</v>
      </c>
      <c r="J12" s="16" t="s">
        <v>15</v>
      </c>
      <c r="K12" s="16" t="s">
        <v>15</v>
      </c>
      <c r="L12" s="6"/>
    </row>
    <row r="13" spans="1:12" ht="21.75" customHeight="1">
      <c r="A13" s="6">
        <v>11</v>
      </c>
      <c r="B13" s="7">
        <v>101</v>
      </c>
      <c r="C13" s="6" t="s">
        <v>13</v>
      </c>
      <c r="D13" s="9" t="str">
        <f>"刘继祥"</f>
        <v>刘继祥</v>
      </c>
      <c r="E13" s="9" t="str">
        <f t="shared" si="2"/>
        <v>男</v>
      </c>
      <c r="F13" s="9" t="s">
        <v>25</v>
      </c>
      <c r="G13" s="8">
        <v>72.6</v>
      </c>
      <c r="H13" s="10">
        <v>75.76</v>
      </c>
      <c r="I13" s="10">
        <f>G13/1.2*0.7+H13*0.3</f>
        <v>65.078</v>
      </c>
      <c r="J13" s="16" t="s">
        <v>15</v>
      </c>
      <c r="K13" s="16" t="s">
        <v>15</v>
      </c>
      <c r="L13" s="6" t="s">
        <v>26</v>
      </c>
    </row>
    <row r="14" spans="1:12" ht="21.75" customHeight="1">
      <c r="A14" s="6">
        <v>12</v>
      </c>
      <c r="B14" s="7">
        <v>101</v>
      </c>
      <c r="C14" s="6" t="s">
        <v>13</v>
      </c>
      <c r="D14" s="9" t="str">
        <f>"李海轮"</f>
        <v>李海轮</v>
      </c>
      <c r="E14" s="9" t="str">
        <f t="shared" si="2"/>
        <v>男</v>
      </c>
      <c r="F14" s="9" t="s">
        <v>27</v>
      </c>
      <c r="G14" s="8">
        <v>69.3</v>
      </c>
      <c r="H14" s="10">
        <v>78.9</v>
      </c>
      <c r="I14" s="10">
        <f>G14/1.2*0.7+H14*0.3</f>
        <v>64.095</v>
      </c>
      <c r="J14" s="16" t="s">
        <v>15</v>
      </c>
      <c r="K14" s="16" t="s">
        <v>15</v>
      </c>
      <c r="L14" s="6" t="s">
        <v>26</v>
      </c>
    </row>
    <row r="15" spans="1:12" ht="21.75" customHeight="1">
      <c r="A15" s="6">
        <v>13</v>
      </c>
      <c r="B15" s="7">
        <v>105</v>
      </c>
      <c r="C15" s="6" t="s">
        <v>28</v>
      </c>
      <c r="D15" s="6" t="str">
        <f>"韩笑"</f>
        <v>韩笑</v>
      </c>
      <c r="E15" s="6" t="str">
        <f aca="true" t="shared" si="3" ref="E15:E25">"女"</f>
        <v>女</v>
      </c>
      <c r="F15" s="6" t="s">
        <v>29</v>
      </c>
      <c r="G15" s="8">
        <v>85.5</v>
      </c>
      <c r="H15" s="8">
        <v>76.86</v>
      </c>
      <c r="I15" s="16">
        <v>72.93299999999999</v>
      </c>
      <c r="J15" s="16" t="s">
        <v>15</v>
      </c>
      <c r="K15" s="16" t="s">
        <v>15</v>
      </c>
      <c r="L15" s="6"/>
    </row>
    <row r="16" spans="1:12" ht="21.75" customHeight="1">
      <c r="A16" s="6">
        <v>14</v>
      </c>
      <c r="B16" s="7">
        <v>106</v>
      </c>
      <c r="C16" s="6" t="s">
        <v>30</v>
      </c>
      <c r="D16" s="6" t="str">
        <f>"李紫微"</f>
        <v>李紫微</v>
      </c>
      <c r="E16" s="6" t="str">
        <f t="shared" si="3"/>
        <v>女</v>
      </c>
      <c r="F16" s="6" t="s">
        <v>31</v>
      </c>
      <c r="G16" s="8">
        <v>99.6</v>
      </c>
      <c r="H16" s="8">
        <v>83.8</v>
      </c>
      <c r="I16" s="16">
        <v>83.24</v>
      </c>
      <c r="J16" s="16" t="s">
        <v>15</v>
      </c>
      <c r="K16" s="16" t="s">
        <v>15</v>
      </c>
      <c r="L16" s="6"/>
    </row>
    <row r="17" spans="1:12" ht="21.75" customHeight="1">
      <c r="A17" s="6">
        <v>15</v>
      </c>
      <c r="B17" s="7">
        <v>106</v>
      </c>
      <c r="C17" s="6" t="s">
        <v>30</v>
      </c>
      <c r="D17" s="6" t="str">
        <f>"何佳佳"</f>
        <v>何佳佳</v>
      </c>
      <c r="E17" s="6" t="str">
        <f t="shared" si="3"/>
        <v>女</v>
      </c>
      <c r="F17" s="6" t="s">
        <v>32</v>
      </c>
      <c r="G17" s="8">
        <v>95.19999999999999</v>
      </c>
      <c r="H17" s="8">
        <v>81</v>
      </c>
      <c r="I17" s="16">
        <v>79.83333333333333</v>
      </c>
      <c r="J17" s="16" t="s">
        <v>15</v>
      </c>
      <c r="K17" s="16" t="s">
        <v>15</v>
      </c>
      <c r="L17" s="6"/>
    </row>
    <row r="18" spans="1:12" ht="21.75" customHeight="1">
      <c r="A18" s="6">
        <v>16</v>
      </c>
      <c r="B18" s="7">
        <v>106</v>
      </c>
      <c r="C18" s="6" t="s">
        <v>30</v>
      </c>
      <c r="D18" s="6" t="str">
        <f>"马思敏"</f>
        <v>马思敏</v>
      </c>
      <c r="E18" s="6" t="str">
        <f t="shared" si="3"/>
        <v>女</v>
      </c>
      <c r="F18" s="6" t="s">
        <v>33</v>
      </c>
      <c r="G18" s="8">
        <v>89.5</v>
      </c>
      <c r="H18" s="8">
        <v>86.86</v>
      </c>
      <c r="I18" s="16">
        <v>78.26633333333334</v>
      </c>
      <c r="J18" s="16" t="s">
        <v>15</v>
      </c>
      <c r="K18" s="16" t="s">
        <v>15</v>
      </c>
      <c r="L18" s="6"/>
    </row>
    <row r="19" spans="1:12" ht="21.75" customHeight="1">
      <c r="A19" s="6">
        <v>17</v>
      </c>
      <c r="B19" s="7">
        <v>106</v>
      </c>
      <c r="C19" s="6" t="s">
        <v>30</v>
      </c>
      <c r="D19" s="6" t="str">
        <f>"王芙蓉"</f>
        <v>王芙蓉</v>
      </c>
      <c r="E19" s="6" t="str">
        <f t="shared" si="3"/>
        <v>女</v>
      </c>
      <c r="F19" s="6" t="s">
        <v>34</v>
      </c>
      <c r="G19" s="8">
        <v>93.30000000000001</v>
      </c>
      <c r="H19" s="8">
        <v>75.6</v>
      </c>
      <c r="I19" s="16">
        <v>77.105</v>
      </c>
      <c r="J19" s="16" t="s">
        <v>15</v>
      </c>
      <c r="K19" s="16" t="s">
        <v>15</v>
      </c>
      <c r="L19" s="6"/>
    </row>
    <row r="20" spans="1:12" ht="21.75" customHeight="1">
      <c r="A20" s="6">
        <v>18</v>
      </c>
      <c r="B20" s="7">
        <v>106</v>
      </c>
      <c r="C20" s="6" t="s">
        <v>30</v>
      </c>
      <c r="D20" s="6" t="str">
        <f>"刁冬梅"</f>
        <v>刁冬梅</v>
      </c>
      <c r="E20" s="6" t="str">
        <f t="shared" si="3"/>
        <v>女</v>
      </c>
      <c r="F20" s="6" t="s">
        <v>35</v>
      </c>
      <c r="G20" s="8">
        <v>88</v>
      </c>
      <c r="H20" s="8">
        <v>84.4</v>
      </c>
      <c r="I20" s="16">
        <v>76.65333333333334</v>
      </c>
      <c r="J20" s="16" t="s">
        <v>15</v>
      </c>
      <c r="K20" s="16" t="s">
        <v>15</v>
      </c>
      <c r="L20" s="6"/>
    </row>
    <row r="21" spans="1:12" ht="21.75" customHeight="1">
      <c r="A21" s="6">
        <v>19</v>
      </c>
      <c r="B21" s="7">
        <v>106</v>
      </c>
      <c r="C21" s="6" t="s">
        <v>30</v>
      </c>
      <c r="D21" s="6" t="str">
        <f>"朱雨晴"</f>
        <v>朱雨晴</v>
      </c>
      <c r="E21" s="6" t="str">
        <f t="shared" si="3"/>
        <v>女</v>
      </c>
      <c r="F21" s="6" t="s">
        <v>36</v>
      </c>
      <c r="G21" s="8">
        <v>90.4</v>
      </c>
      <c r="H21" s="8">
        <v>79.7</v>
      </c>
      <c r="I21" s="16">
        <v>76.64333333333333</v>
      </c>
      <c r="J21" s="16" t="s">
        <v>15</v>
      </c>
      <c r="K21" s="16" t="s">
        <v>15</v>
      </c>
      <c r="L21" s="6"/>
    </row>
    <row r="22" spans="1:12" ht="21.75" customHeight="1">
      <c r="A22" s="6">
        <v>20</v>
      </c>
      <c r="B22" s="7">
        <v>106</v>
      </c>
      <c r="C22" s="6" t="s">
        <v>30</v>
      </c>
      <c r="D22" s="6" t="str">
        <f>"梁雅慧"</f>
        <v>梁雅慧</v>
      </c>
      <c r="E22" s="6" t="str">
        <f t="shared" si="3"/>
        <v>女</v>
      </c>
      <c r="F22" s="6" t="s">
        <v>37</v>
      </c>
      <c r="G22" s="8">
        <v>92.1</v>
      </c>
      <c r="H22" s="8">
        <v>75.4</v>
      </c>
      <c r="I22" s="16">
        <v>76.345</v>
      </c>
      <c r="J22" s="16" t="s">
        <v>15</v>
      </c>
      <c r="K22" s="16" t="s">
        <v>15</v>
      </c>
      <c r="L22" s="6"/>
    </row>
    <row r="23" spans="1:12" ht="21.75" customHeight="1">
      <c r="A23" s="6">
        <v>21</v>
      </c>
      <c r="B23" s="7">
        <v>106</v>
      </c>
      <c r="C23" s="6" t="s">
        <v>30</v>
      </c>
      <c r="D23" s="6" t="str">
        <f>"黄娣"</f>
        <v>黄娣</v>
      </c>
      <c r="E23" s="6" t="str">
        <f t="shared" si="3"/>
        <v>女</v>
      </c>
      <c r="F23" s="6" t="s">
        <v>38</v>
      </c>
      <c r="G23" s="8">
        <v>87.6</v>
      </c>
      <c r="H23" s="8">
        <v>80.62</v>
      </c>
      <c r="I23" s="16">
        <v>75.286</v>
      </c>
      <c r="J23" s="16" t="s">
        <v>15</v>
      </c>
      <c r="K23" s="16" t="s">
        <v>15</v>
      </c>
      <c r="L23" s="6"/>
    </row>
    <row r="24" spans="1:12" ht="21.75" customHeight="1">
      <c r="A24" s="6">
        <v>22</v>
      </c>
      <c r="B24" s="7">
        <v>106</v>
      </c>
      <c r="C24" s="6" t="s">
        <v>30</v>
      </c>
      <c r="D24" s="6" t="str">
        <f>"许崇慧"</f>
        <v>许崇慧</v>
      </c>
      <c r="E24" s="6" t="str">
        <f t="shared" si="3"/>
        <v>女</v>
      </c>
      <c r="F24" s="6" t="s">
        <v>39</v>
      </c>
      <c r="G24" s="8">
        <v>88.1</v>
      </c>
      <c r="H24" s="8">
        <v>79.6</v>
      </c>
      <c r="I24" s="16">
        <v>75.27166666666666</v>
      </c>
      <c r="J24" s="16" t="s">
        <v>15</v>
      </c>
      <c r="K24" s="16" t="s">
        <v>15</v>
      </c>
      <c r="L24" s="6"/>
    </row>
    <row r="25" spans="1:12" ht="21.75" customHeight="1">
      <c r="A25" s="6">
        <v>23</v>
      </c>
      <c r="B25" s="7">
        <v>106</v>
      </c>
      <c r="C25" s="6" t="s">
        <v>30</v>
      </c>
      <c r="D25" s="6" t="str">
        <f>"孙丹丹"</f>
        <v>孙丹丹</v>
      </c>
      <c r="E25" s="6" t="str">
        <f t="shared" si="3"/>
        <v>女</v>
      </c>
      <c r="F25" s="6" t="s">
        <v>40</v>
      </c>
      <c r="G25" s="8">
        <v>86.69999999999999</v>
      </c>
      <c r="H25" s="8">
        <v>81.7</v>
      </c>
      <c r="I25" s="16">
        <v>75.085</v>
      </c>
      <c r="J25" s="16" t="s">
        <v>15</v>
      </c>
      <c r="K25" s="16" t="s">
        <v>15</v>
      </c>
      <c r="L25" s="6"/>
    </row>
    <row r="26" spans="1:12" ht="21.75" customHeight="1">
      <c r="A26" s="6">
        <v>24</v>
      </c>
      <c r="B26" s="7">
        <v>107</v>
      </c>
      <c r="C26" s="6" t="s">
        <v>30</v>
      </c>
      <c r="D26" s="6" t="str">
        <f>"王文昊"</f>
        <v>王文昊</v>
      </c>
      <c r="E26" s="6" t="str">
        <f aca="true" t="shared" si="4" ref="E26:E30">"男"</f>
        <v>男</v>
      </c>
      <c r="F26" s="6" t="s">
        <v>41</v>
      </c>
      <c r="G26" s="8">
        <v>89.30000000000001</v>
      </c>
      <c r="H26" s="8">
        <v>78.9</v>
      </c>
      <c r="I26" s="16">
        <v>75.76166666666668</v>
      </c>
      <c r="J26" s="16" t="s">
        <v>15</v>
      </c>
      <c r="K26" s="16" t="s">
        <v>15</v>
      </c>
      <c r="L26" s="6"/>
    </row>
    <row r="27" spans="1:12" ht="21.75" customHeight="1">
      <c r="A27" s="6">
        <v>25</v>
      </c>
      <c r="B27" s="7">
        <v>107</v>
      </c>
      <c r="C27" s="6" t="s">
        <v>30</v>
      </c>
      <c r="D27" s="6" t="str">
        <f>"吴国浩"</f>
        <v>吴国浩</v>
      </c>
      <c r="E27" s="6" t="str">
        <f t="shared" si="4"/>
        <v>男</v>
      </c>
      <c r="F27" s="6" t="s">
        <v>42</v>
      </c>
      <c r="G27" s="8">
        <v>80.8</v>
      </c>
      <c r="H27" s="8">
        <v>81.56</v>
      </c>
      <c r="I27" s="16">
        <v>71.60133333333333</v>
      </c>
      <c r="J27" s="16" t="s">
        <v>15</v>
      </c>
      <c r="K27" s="16" t="s">
        <v>15</v>
      </c>
      <c r="L27" s="6"/>
    </row>
    <row r="28" spans="1:12" ht="21.75" customHeight="1">
      <c r="A28" s="6">
        <v>26</v>
      </c>
      <c r="B28" s="7">
        <v>107</v>
      </c>
      <c r="C28" s="6" t="s">
        <v>30</v>
      </c>
      <c r="D28" s="6" t="str">
        <f>"张鑫"</f>
        <v>张鑫</v>
      </c>
      <c r="E28" s="6" t="str">
        <f t="shared" si="4"/>
        <v>男</v>
      </c>
      <c r="F28" s="6" t="s">
        <v>43</v>
      </c>
      <c r="G28" s="8">
        <v>81</v>
      </c>
      <c r="H28" s="8">
        <v>77.9</v>
      </c>
      <c r="I28" s="16">
        <v>70.62</v>
      </c>
      <c r="J28" s="16" t="s">
        <v>15</v>
      </c>
      <c r="K28" s="16" t="s">
        <v>15</v>
      </c>
      <c r="L28" s="6"/>
    </row>
    <row r="29" spans="1:12" ht="21.75" customHeight="1">
      <c r="A29" s="6">
        <v>27</v>
      </c>
      <c r="B29" s="7">
        <v>107</v>
      </c>
      <c r="C29" s="6" t="s">
        <v>30</v>
      </c>
      <c r="D29" s="6" t="str">
        <f>"黄迅"</f>
        <v>黄迅</v>
      </c>
      <c r="E29" s="6" t="str">
        <f t="shared" si="4"/>
        <v>男</v>
      </c>
      <c r="F29" s="6" t="s">
        <v>44</v>
      </c>
      <c r="G29" s="8">
        <v>79.9</v>
      </c>
      <c r="H29" s="8">
        <v>78.16</v>
      </c>
      <c r="I29" s="16">
        <v>70.05633333333333</v>
      </c>
      <c r="J29" s="16" t="s">
        <v>15</v>
      </c>
      <c r="K29" s="16" t="s">
        <v>15</v>
      </c>
      <c r="L29" s="6"/>
    </row>
    <row r="30" spans="1:12" ht="21.75" customHeight="1">
      <c r="A30" s="6">
        <v>28</v>
      </c>
      <c r="B30" s="7">
        <v>107</v>
      </c>
      <c r="C30" s="6" t="s">
        <v>30</v>
      </c>
      <c r="D30" s="6" t="str">
        <f>"孙权"</f>
        <v>孙权</v>
      </c>
      <c r="E30" s="6" t="str">
        <f t="shared" si="4"/>
        <v>男</v>
      </c>
      <c r="F30" s="6" t="s">
        <v>45</v>
      </c>
      <c r="G30" s="8">
        <v>76.4</v>
      </c>
      <c r="H30" s="8">
        <v>81.24</v>
      </c>
      <c r="I30" s="16">
        <v>68.93866666666666</v>
      </c>
      <c r="J30" s="16" t="s">
        <v>15</v>
      </c>
      <c r="K30" s="16" t="s">
        <v>15</v>
      </c>
      <c r="L30" s="6"/>
    </row>
    <row r="31" spans="1:12" ht="21.75" customHeight="1">
      <c r="A31" s="6">
        <v>29</v>
      </c>
      <c r="B31" s="7">
        <v>108</v>
      </c>
      <c r="C31" s="6" t="s">
        <v>46</v>
      </c>
      <c r="D31" s="6" t="str">
        <f>"江丽"</f>
        <v>江丽</v>
      </c>
      <c r="E31" s="6" t="str">
        <f>"女"</f>
        <v>女</v>
      </c>
      <c r="F31" s="6" t="s">
        <v>47</v>
      </c>
      <c r="G31" s="8">
        <v>87.19999999999999</v>
      </c>
      <c r="H31" s="8">
        <v>82.7</v>
      </c>
      <c r="I31" s="16">
        <v>75.67666666666666</v>
      </c>
      <c r="J31" s="16" t="s">
        <v>15</v>
      </c>
      <c r="K31" s="16" t="s">
        <v>15</v>
      </c>
      <c r="L31" s="6"/>
    </row>
    <row r="32" spans="1:12" ht="21.75" customHeight="1">
      <c r="A32" s="6">
        <v>30</v>
      </c>
      <c r="B32" s="7">
        <v>111</v>
      </c>
      <c r="C32" s="6" t="s">
        <v>48</v>
      </c>
      <c r="D32" s="6" t="str">
        <f>"马书宝"</f>
        <v>马书宝</v>
      </c>
      <c r="E32" s="6" t="str">
        <f>"女"</f>
        <v>女</v>
      </c>
      <c r="F32" s="6" t="s">
        <v>49</v>
      </c>
      <c r="G32" s="8">
        <v>80.5</v>
      </c>
      <c r="H32" s="8">
        <v>79.32</v>
      </c>
      <c r="I32" s="16">
        <v>70.75433333333334</v>
      </c>
      <c r="J32" s="16" t="s">
        <v>15</v>
      </c>
      <c r="K32" s="16" t="s">
        <v>15</v>
      </c>
      <c r="L32" s="6"/>
    </row>
    <row r="33" spans="1:12" ht="21.75" customHeight="1">
      <c r="A33" s="6">
        <v>31</v>
      </c>
      <c r="B33" s="7">
        <v>113</v>
      </c>
      <c r="C33" s="6" t="s">
        <v>50</v>
      </c>
      <c r="D33" s="6" t="str">
        <f>"丰加兴"</f>
        <v>丰加兴</v>
      </c>
      <c r="E33" s="6" t="str">
        <f>"男"</f>
        <v>男</v>
      </c>
      <c r="F33" s="6" t="s">
        <v>51</v>
      </c>
      <c r="G33" s="8">
        <v>67.8</v>
      </c>
      <c r="H33" s="8">
        <v>76.68</v>
      </c>
      <c r="I33" s="16">
        <v>62.554</v>
      </c>
      <c r="J33" s="16" t="s">
        <v>15</v>
      </c>
      <c r="K33" s="16" t="s">
        <v>15</v>
      </c>
      <c r="L33" s="6"/>
    </row>
    <row r="34" spans="1:12" ht="21.75" customHeight="1">
      <c r="A34" s="6">
        <v>32</v>
      </c>
      <c r="B34" s="7">
        <v>113</v>
      </c>
      <c r="C34" s="6" t="s">
        <v>50</v>
      </c>
      <c r="D34" s="6" t="str">
        <f>"张建猛"</f>
        <v>张建猛</v>
      </c>
      <c r="E34" s="6" t="str">
        <f>"男"</f>
        <v>男</v>
      </c>
      <c r="F34" s="6" t="s">
        <v>52</v>
      </c>
      <c r="G34" s="8">
        <v>64.6</v>
      </c>
      <c r="H34" s="8">
        <v>81.8</v>
      </c>
      <c r="I34" s="16">
        <v>62.22333333333333</v>
      </c>
      <c r="J34" s="16" t="s">
        <v>15</v>
      </c>
      <c r="K34" s="16" t="s">
        <v>15</v>
      </c>
      <c r="L34" s="6"/>
    </row>
    <row r="35" spans="1:12" ht="21.75" customHeight="1">
      <c r="A35" s="6">
        <v>33</v>
      </c>
      <c r="B35" s="11">
        <v>201</v>
      </c>
      <c r="C35" s="12" t="s">
        <v>53</v>
      </c>
      <c r="D35" s="12" t="str">
        <f>"徐辉"</f>
        <v>徐辉</v>
      </c>
      <c r="E35" s="12" t="str">
        <f aca="true" t="shared" si="5" ref="E35:E40">"男"</f>
        <v>男</v>
      </c>
      <c r="F35" s="13" t="str">
        <f>"202105090906"</f>
        <v>202105090906</v>
      </c>
      <c r="G35" s="8">
        <v>85</v>
      </c>
      <c r="H35" s="8">
        <v>80.2</v>
      </c>
      <c r="I35" s="16">
        <v>73.64333333333333</v>
      </c>
      <c r="J35" s="15" t="s">
        <v>15</v>
      </c>
      <c r="K35" s="15" t="s">
        <v>15</v>
      </c>
      <c r="L35" s="15"/>
    </row>
    <row r="36" spans="1:12" ht="21.75" customHeight="1">
      <c r="A36" s="6">
        <v>34</v>
      </c>
      <c r="B36" s="11">
        <v>202</v>
      </c>
      <c r="C36" s="12" t="s">
        <v>54</v>
      </c>
      <c r="D36" s="12" t="str">
        <f>"薛帅帅"</f>
        <v>薛帅帅</v>
      </c>
      <c r="E36" s="12" t="str">
        <f t="shared" si="5"/>
        <v>男</v>
      </c>
      <c r="F36" s="13" t="str">
        <f>"202105090910"</f>
        <v>202105090910</v>
      </c>
      <c r="G36" s="8">
        <v>78.8</v>
      </c>
      <c r="H36" s="8">
        <v>79</v>
      </c>
      <c r="I36" s="16">
        <v>69.66666666666667</v>
      </c>
      <c r="J36" s="15" t="s">
        <v>15</v>
      </c>
      <c r="K36" s="15" t="s">
        <v>15</v>
      </c>
      <c r="L36" s="15"/>
    </row>
    <row r="37" spans="1:12" ht="21.75" customHeight="1">
      <c r="A37" s="6">
        <v>35</v>
      </c>
      <c r="B37" s="11">
        <v>202</v>
      </c>
      <c r="C37" s="12" t="s">
        <v>54</v>
      </c>
      <c r="D37" s="12" t="str">
        <f>"耿行"</f>
        <v>耿行</v>
      </c>
      <c r="E37" s="12" t="str">
        <f t="shared" si="5"/>
        <v>男</v>
      </c>
      <c r="F37" s="13" t="str">
        <f>"202105090909"</f>
        <v>202105090909</v>
      </c>
      <c r="G37" s="8">
        <v>60.9</v>
      </c>
      <c r="H37" s="8">
        <v>78.2</v>
      </c>
      <c r="I37" s="16">
        <v>58.985</v>
      </c>
      <c r="J37" s="15" t="s">
        <v>15</v>
      </c>
      <c r="K37" s="15" t="s">
        <v>15</v>
      </c>
      <c r="L37" s="15"/>
    </row>
    <row r="38" spans="1:12" ht="21.75" customHeight="1">
      <c r="A38" s="6">
        <v>36</v>
      </c>
      <c r="B38" s="11">
        <v>203</v>
      </c>
      <c r="C38" s="12" t="s">
        <v>53</v>
      </c>
      <c r="D38" s="12" t="str">
        <f>"李佳宁"</f>
        <v>李佳宁</v>
      </c>
      <c r="E38" s="12" t="str">
        <f aca="true" t="shared" si="6" ref="E38:E42">"女"</f>
        <v>女</v>
      </c>
      <c r="F38" s="13" t="str">
        <f>"202105091129"</f>
        <v>202105091129</v>
      </c>
      <c r="G38" s="8">
        <v>84.4</v>
      </c>
      <c r="H38" s="8">
        <v>79.2</v>
      </c>
      <c r="I38" s="16">
        <v>72.99333333333334</v>
      </c>
      <c r="J38" s="15" t="s">
        <v>15</v>
      </c>
      <c r="K38" s="15" t="s">
        <v>15</v>
      </c>
      <c r="L38" s="15"/>
    </row>
    <row r="39" spans="1:12" ht="21.75" customHeight="1">
      <c r="A39" s="6">
        <v>37</v>
      </c>
      <c r="B39" s="14">
        <v>204</v>
      </c>
      <c r="C39" s="15" t="s">
        <v>53</v>
      </c>
      <c r="D39" s="15" t="str">
        <f>"郑纯峰"</f>
        <v>郑纯峰</v>
      </c>
      <c r="E39" s="15" t="str">
        <f t="shared" si="5"/>
        <v>男</v>
      </c>
      <c r="F39" s="15" t="str">
        <f>"202105090914"</f>
        <v>202105090914</v>
      </c>
      <c r="G39" s="6">
        <v>83.5</v>
      </c>
      <c r="H39" s="6">
        <v>74.2</v>
      </c>
      <c r="I39" s="16">
        <v>70.96833333333333</v>
      </c>
      <c r="J39" s="15" t="s">
        <v>15</v>
      </c>
      <c r="K39" s="15" t="s">
        <v>15</v>
      </c>
      <c r="L39" s="15"/>
    </row>
    <row r="40" spans="1:12" ht="21.75" customHeight="1">
      <c r="A40" s="6">
        <v>38</v>
      </c>
      <c r="B40" s="14">
        <v>204</v>
      </c>
      <c r="C40" s="15" t="s">
        <v>53</v>
      </c>
      <c r="D40" s="15" t="str">
        <f>"张红超"</f>
        <v>张红超</v>
      </c>
      <c r="E40" s="15" t="str">
        <f t="shared" si="5"/>
        <v>男</v>
      </c>
      <c r="F40" s="15" t="str">
        <f>"202105090913"</f>
        <v>202105090913</v>
      </c>
      <c r="G40" s="6">
        <v>75.3</v>
      </c>
      <c r="H40" s="6">
        <v>77.8</v>
      </c>
      <c r="I40" s="16">
        <v>67.265</v>
      </c>
      <c r="J40" s="15" t="s">
        <v>15</v>
      </c>
      <c r="K40" s="15" t="s">
        <v>15</v>
      </c>
      <c r="L40" s="15"/>
    </row>
    <row r="41" spans="1:12" ht="21.75" customHeight="1">
      <c r="A41" s="6">
        <v>39</v>
      </c>
      <c r="B41" s="11">
        <v>207</v>
      </c>
      <c r="C41" s="12" t="s">
        <v>48</v>
      </c>
      <c r="D41" s="12" t="str">
        <f>"牛敬玲"</f>
        <v>牛敬玲</v>
      </c>
      <c r="E41" s="12" t="str">
        <f t="shared" si="6"/>
        <v>女</v>
      </c>
      <c r="F41" s="13" t="str">
        <f>"202105091201"</f>
        <v>202105091201</v>
      </c>
      <c r="G41" s="8">
        <v>89.7</v>
      </c>
      <c r="H41" s="8">
        <v>77</v>
      </c>
      <c r="I41" s="16">
        <v>75.425</v>
      </c>
      <c r="J41" s="15" t="s">
        <v>15</v>
      </c>
      <c r="K41" s="15" t="s">
        <v>15</v>
      </c>
      <c r="L41" s="15"/>
    </row>
    <row r="42" spans="1:12" ht="21.75" customHeight="1">
      <c r="A42" s="6">
        <v>40</v>
      </c>
      <c r="B42" s="11">
        <v>207</v>
      </c>
      <c r="C42" s="12" t="s">
        <v>48</v>
      </c>
      <c r="D42" s="12" t="str">
        <f>"刘雅茹"</f>
        <v>刘雅茹</v>
      </c>
      <c r="E42" s="12" t="str">
        <f t="shared" si="6"/>
        <v>女</v>
      </c>
      <c r="F42" s="13" t="str">
        <f>"202105091205"</f>
        <v>202105091205</v>
      </c>
      <c r="G42" s="8">
        <v>68.6</v>
      </c>
      <c r="H42" s="8">
        <v>81</v>
      </c>
      <c r="I42" s="16">
        <v>64.31666666666666</v>
      </c>
      <c r="J42" s="15" t="s">
        <v>15</v>
      </c>
      <c r="K42" s="15" t="s">
        <v>15</v>
      </c>
      <c r="L42" s="15"/>
    </row>
    <row r="43" spans="1:12" ht="21.75" customHeight="1">
      <c r="A43" s="6">
        <v>41</v>
      </c>
      <c r="B43" s="11">
        <v>208</v>
      </c>
      <c r="C43" s="12" t="s">
        <v>55</v>
      </c>
      <c r="D43" s="12" t="str">
        <f>"郑峰"</f>
        <v>郑峰</v>
      </c>
      <c r="E43" s="12" t="str">
        <f aca="true" t="shared" si="7" ref="E43:E47">"男"</f>
        <v>男</v>
      </c>
      <c r="F43" s="13" t="str">
        <f>"202105090919"</f>
        <v>202105090919</v>
      </c>
      <c r="G43" s="8">
        <v>81.3</v>
      </c>
      <c r="H43" s="8">
        <v>80</v>
      </c>
      <c r="I43" s="16">
        <v>71.425</v>
      </c>
      <c r="J43" s="15" t="s">
        <v>15</v>
      </c>
      <c r="K43" s="15" t="s">
        <v>15</v>
      </c>
      <c r="L43" s="15"/>
    </row>
    <row r="44" spans="1:12" ht="21.75" customHeight="1">
      <c r="A44" s="6">
        <v>42</v>
      </c>
      <c r="B44" s="11">
        <v>208</v>
      </c>
      <c r="C44" s="12" t="s">
        <v>55</v>
      </c>
      <c r="D44" s="12" t="str">
        <f>"夏志强"</f>
        <v>夏志强</v>
      </c>
      <c r="E44" s="12" t="str">
        <f t="shared" si="7"/>
        <v>男</v>
      </c>
      <c r="F44" s="13" t="str">
        <f>"202105090920"</f>
        <v>202105090920</v>
      </c>
      <c r="G44" s="8">
        <v>68.9</v>
      </c>
      <c r="H44" s="8">
        <v>79</v>
      </c>
      <c r="I44" s="16">
        <v>63.891666666666666</v>
      </c>
      <c r="J44" s="15" t="s">
        <v>15</v>
      </c>
      <c r="K44" s="15" t="s">
        <v>15</v>
      </c>
      <c r="L44" s="15"/>
    </row>
    <row r="45" spans="1:12" ht="21.75" customHeight="1">
      <c r="A45" s="6">
        <v>43</v>
      </c>
      <c r="B45" s="11">
        <v>209</v>
      </c>
      <c r="C45" s="12" t="s">
        <v>56</v>
      </c>
      <c r="D45" s="12" t="str">
        <f>"郭泽楷"</f>
        <v>郭泽楷</v>
      </c>
      <c r="E45" s="12" t="str">
        <f t="shared" si="7"/>
        <v>男</v>
      </c>
      <c r="F45" s="13" t="str">
        <f>"202105091219"</f>
        <v>202105091219</v>
      </c>
      <c r="G45" s="8">
        <v>77.7</v>
      </c>
      <c r="H45" s="8">
        <v>75.6</v>
      </c>
      <c r="I45" s="16">
        <v>68.005</v>
      </c>
      <c r="J45" s="15" t="s">
        <v>15</v>
      </c>
      <c r="K45" s="15" t="s">
        <v>15</v>
      </c>
      <c r="L45" s="15"/>
    </row>
    <row r="46" spans="1:12" ht="21.75" customHeight="1">
      <c r="A46" s="6">
        <v>44</v>
      </c>
      <c r="B46" s="11">
        <v>209</v>
      </c>
      <c r="C46" s="12" t="s">
        <v>56</v>
      </c>
      <c r="D46" s="12" t="str">
        <f>"王显"</f>
        <v>王显</v>
      </c>
      <c r="E46" s="12" t="str">
        <f t="shared" si="7"/>
        <v>男</v>
      </c>
      <c r="F46" s="13" t="str">
        <f>"202105091221"</f>
        <v>202105091221</v>
      </c>
      <c r="G46" s="8">
        <v>73.8</v>
      </c>
      <c r="H46" s="8">
        <v>78.8</v>
      </c>
      <c r="I46" s="16">
        <v>66.69</v>
      </c>
      <c r="J46" s="15" t="s">
        <v>15</v>
      </c>
      <c r="K46" s="15" t="s">
        <v>15</v>
      </c>
      <c r="L46" s="15"/>
    </row>
    <row r="47" spans="1:12" ht="21.75" customHeight="1">
      <c r="A47" s="6">
        <v>45</v>
      </c>
      <c r="B47" s="11">
        <v>209</v>
      </c>
      <c r="C47" s="12" t="s">
        <v>56</v>
      </c>
      <c r="D47" s="12" t="str">
        <f>"许路路"</f>
        <v>许路路</v>
      </c>
      <c r="E47" s="12" t="str">
        <f t="shared" si="7"/>
        <v>男</v>
      </c>
      <c r="F47" s="13" t="str">
        <f>"202105091208"</f>
        <v>202105091208</v>
      </c>
      <c r="G47" s="8">
        <v>73.7</v>
      </c>
      <c r="H47" s="8">
        <v>78.8</v>
      </c>
      <c r="I47" s="16">
        <v>66.63166666666666</v>
      </c>
      <c r="J47" s="15" t="s">
        <v>15</v>
      </c>
      <c r="K47" s="15" t="s">
        <v>15</v>
      </c>
      <c r="L47" s="15"/>
    </row>
    <row r="48" spans="1:12" ht="21.75" customHeight="1">
      <c r="A48" s="6">
        <v>46</v>
      </c>
      <c r="B48" s="14">
        <v>211</v>
      </c>
      <c r="C48" s="15" t="s">
        <v>57</v>
      </c>
      <c r="D48" s="15" t="str">
        <f>"李曼玉"</f>
        <v>李曼玉</v>
      </c>
      <c r="E48" s="12" t="str">
        <f aca="true" t="shared" si="8" ref="E48:E56">"女"</f>
        <v>女</v>
      </c>
      <c r="F48" s="13" t="str">
        <f>"202105093620"</f>
        <v>202105093620</v>
      </c>
      <c r="G48" s="8">
        <v>99.1</v>
      </c>
      <c r="H48" s="8">
        <v>81.3</v>
      </c>
      <c r="I48" s="16">
        <v>82.19833333333332</v>
      </c>
      <c r="J48" s="15" t="s">
        <v>15</v>
      </c>
      <c r="K48" s="15" t="s">
        <v>15</v>
      </c>
      <c r="L48" s="15"/>
    </row>
    <row r="49" spans="1:12" ht="21.75" customHeight="1">
      <c r="A49" s="6">
        <v>47</v>
      </c>
      <c r="B49" s="11">
        <v>211</v>
      </c>
      <c r="C49" s="12" t="s">
        <v>57</v>
      </c>
      <c r="D49" s="12" t="str">
        <f>"刘娟"</f>
        <v>刘娟</v>
      </c>
      <c r="E49" s="12" t="str">
        <f t="shared" si="8"/>
        <v>女</v>
      </c>
      <c r="F49" s="13" t="str">
        <f>"202105093502"</f>
        <v>202105093502</v>
      </c>
      <c r="G49" s="8">
        <v>91</v>
      </c>
      <c r="H49" s="8">
        <v>85.8</v>
      </c>
      <c r="I49" s="16">
        <v>78.82333333333334</v>
      </c>
      <c r="J49" s="15" t="s">
        <v>15</v>
      </c>
      <c r="K49" s="15" t="s">
        <v>15</v>
      </c>
      <c r="L49" s="15"/>
    </row>
    <row r="50" spans="1:12" ht="21.75" customHeight="1">
      <c r="A50" s="6">
        <v>48</v>
      </c>
      <c r="B50" s="11">
        <v>211</v>
      </c>
      <c r="C50" s="12" t="s">
        <v>57</v>
      </c>
      <c r="D50" s="12" t="str">
        <f>"任晓娜"</f>
        <v>任晓娜</v>
      </c>
      <c r="E50" s="12" t="str">
        <f t="shared" si="8"/>
        <v>女</v>
      </c>
      <c r="F50" s="13" t="str">
        <f>"202105094102"</f>
        <v>202105094102</v>
      </c>
      <c r="G50" s="8">
        <v>90.6</v>
      </c>
      <c r="H50" s="8">
        <v>86.06</v>
      </c>
      <c r="I50" s="16">
        <v>78.66799999999999</v>
      </c>
      <c r="J50" s="15" t="s">
        <v>15</v>
      </c>
      <c r="K50" s="15" t="s">
        <v>15</v>
      </c>
      <c r="L50" s="15"/>
    </row>
    <row r="51" spans="1:12" ht="21.75" customHeight="1">
      <c r="A51" s="6">
        <v>49</v>
      </c>
      <c r="B51" s="11">
        <v>211</v>
      </c>
      <c r="C51" s="12" t="s">
        <v>57</v>
      </c>
      <c r="D51" s="12" t="str">
        <f>"龙娟"</f>
        <v>龙娟</v>
      </c>
      <c r="E51" s="12" t="str">
        <f t="shared" si="8"/>
        <v>女</v>
      </c>
      <c r="F51" s="13" t="str">
        <f>"202105093905"</f>
        <v>202105093905</v>
      </c>
      <c r="G51" s="8">
        <v>91.3</v>
      </c>
      <c r="H51" s="8">
        <v>81.4</v>
      </c>
      <c r="I51" s="16">
        <v>77.67833333333333</v>
      </c>
      <c r="J51" s="15" t="s">
        <v>15</v>
      </c>
      <c r="K51" s="15" t="s">
        <v>15</v>
      </c>
      <c r="L51" s="15"/>
    </row>
    <row r="52" spans="1:12" ht="21.75" customHeight="1">
      <c r="A52" s="6">
        <v>50</v>
      </c>
      <c r="B52" s="14">
        <v>211</v>
      </c>
      <c r="C52" s="15" t="s">
        <v>57</v>
      </c>
      <c r="D52" s="15" t="str">
        <f>"李美雪"</f>
        <v>李美雪</v>
      </c>
      <c r="E52" s="15" t="str">
        <f t="shared" si="8"/>
        <v>女</v>
      </c>
      <c r="F52" s="13" t="str">
        <f>"202105093916"</f>
        <v>202105093916</v>
      </c>
      <c r="G52" s="8">
        <v>89.2</v>
      </c>
      <c r="H52" s="8">
        <v>83.8</v>
      </c>
      <c r="I52" s="16">
        <v>77.17333333333333</v>
      </c>
      <c r="J52" s="15" t="s">
        <v>15</v>
      </c>
      <c r="K52" s="15" t="s">
        <v>15</v>
      </c>
      <c r="L52" s="15"/>
    </row>
    <row r="53" spans="1:12" ht="21.75" customHeight="1">
      <c r="A53" s="6">
        <v>51</v>
      </c>
      <c r="B53" s="11">
        <v>211</v>
      </c>
      <c r="C53" s="12" t="s">
        <v>57</v>
      </c>
      <c r="D53" s="12" t="str">
        <f>"张京难"</f>
        <v>张京难</v>
      </c>
      <c r="E53" s="12" t="str">
        <f t="shared" si="8"/>
        <v>女</v>
      </c>
      <c r="F53" s="13" t="str">
        <f>"202105093825"</f>
        <v>202105093825</v>
      </c>
      <c r="G53" s="8">
        <v>88.6</v>
      </c>
      <c r="H53" s="8">
        <v>83.7</v>
      </c>
      <c r="I53" s="16">
        <v>76.79333333333332</v>
      </c>
      <c r="J53" s="15" t="s">
        <v>15</v>
      </c>
      <c r="K53" s="15" t="s">
        <v>15</v>
      </c>
      <c r="L53" s="15"/>
    </row>
    <row r="54" spans="1:12" ht="21.75" customHeight="1">
      <c r="A54" s="6">
        <v>52</v>
      </c>
      <c r="B54" s="14">
        <v>211</v>
      </c>
      <c r="C54" s="15" t="s">
        <v>57</v>
      </c>
      <c r="D54" s="15" t="str">
        <f>"郑玲"</f>
        <v>郑玲</v>
      </c>
      <c r="E54" s="15" t="str">
        <f t="shared" si="8"/>
        <v>女</v>
      </c>
      <c r="F54" s="13" t="str">
        <f>"202105093925"</f>
        <v>202105093925</v>
      </c>
      <c r="G54" s="8">
        <v>88</v>
      </c>
      <c r="H54" s="8">
        <v>81.96</v>
      </c>
      <c r="I54" s="16">
        <v>75.92133333333334</v>
      </c>
      <c r="J54" s="15" t="s">
        <v>15</v>
      </c>
      <c r="K54" s="15" t="s">
        <v>15</v>
      </c>
      <c r="L54" s="15"/>
    </row>
    <row r="55" spans="1:12" ht="21.75" customHeight="1">
      <c r="A55" s="6">
        <v>53</v>
      </c>
      <c r="B55" s="11">
        <v>211</v>
      </c>
      <c r="C55" s="12" t="s">
        <v>57</v>
      </c>
      <c r="D55" s="12" t="str">
        <f>"赵静"</f>
        <v>赵静</v>
      </c>
      <c r="E55" s="12" t="str">
        <f t="shared" si="8"/>
        <v>女</v>
      </c>
      <c r="F55" s="13" t="str">
        <f>"202105093601"</f>
        <v>202105093601</v>
      </c>
      <c r="G55" s="8">
        <v>86.7</v>
      </c>
      <c r="H55" s="8">
        <v>82.7</v>
      </c>
      <c r="I55" s="16">
        <v>75.38499999999999</v>
      </c>
      <c r="J55" s="15" t="s">
        <v>15</v>
      </c>
      <c r="K55" s="15" t="s">
        <v>15</v>
      </c>
      <c r="L55" s="15"/>
    </row>
    <row r="56" spans="1:12" ht="21.75" customHeight="1">
      <c r="A56" s="6">
        <v>54</v>
      </c>
      <c r="B56" s="11">
        <v>211</v>
      </c>
      <c r="C56" s="12" t="s">
        <v>57</v>
      </c>
      <c r="D56" s="12" t="str">
        <f>"尤文静"</f>
        <v>尤文静</v>
      </c>
      <c r="E56" s="12" t="str">
        <f t="shared" si="8"/>
        <v>女</v>
      </c>
      <c r="F56" s="13" t="str">
        <f>"202105093714"</f>
        <v>202105093714</v>
      </c>
      <c r="G56" s="8">
        <v>86.6</v>
      </c>
      <c r="H56" s="8">
        <v>82.8</v>
      </c>
      <c r="I56" s="16">
        <v>75.35666666666667</v>
      </c>
      <c r="J56" s="15" t="s">
        <v>15</v>
      </c>
      <c r="K56" s="15" t="s">
        <v>15</v>
      </c>
      <c r="L56" s="15" t="s">
        <v>26</v>
      </c>
    </row>
    <row r="57" spans="1:12" ht="21.75" customHeight="1">
      <c r="A57" s="6">
        <v>55</v>
      </c>
      <c r="B57" s="11">
        <v>213</v>
      </c>
      <c r="C57" s="12" t="s">
        <v>58</v>
      </c>
      <c r="D57" s="12" t="str">
        <f>"高玉翔"</f>
        <v>高玉翔</v>
      </c>
      <c r="E57" s="12" t="str">
        <f aca="true" t="shared" si="9" ref="E57:E62">"男"</f>
        <v>男</v>
      </c>
      <c r="F57" s="13" t="str">
        <f>"202105090101"</f>
        <v>202105090101</v>
      </c>
      <c r="G57" s="8">
        <v>79.2</v>
      </c>
      <c r="H57" s="8">
        <v>82</v>
      </c>
      <c r="I57" s="16">
        <v>70.8</v>
      </c>
      <c r="J57" s="15" t="s">
        <v>15</v>
      </c>
      <c r="K57" s="15" t="s">
        <v>15</v>
      </c>
      <c r="L57" s="15"/>
    </row>
    <row r="58" spans="1:12" ht="21.75" customHeight="1">
      <c r="A58" s="6">
        <v>56</v>
      </c>
      <c r="B58" s="11">
        <v>213</v>
      </c>
      <c r="C58" s="12" t="s">
        <v>58</v>
      </c>
      <c r="D58" s="12" t="str">
        <f>"李帅帅"</f>
        <v>李帅帅</v>
      </c>
      <c r="E58" s="12" t="str">
        <f t="shared" si="9"/>
        <v>男</v>
      </c>
      <c r="F58" s="13" t="str">
        <f>"202105090102"</f>
        <v>202105090102</v>
      </c>
      <c r="G58" s="8">
        <v>65.6</v>
      </c>
      <c r="H58" s="8">
        <v>79.6</v>
      </c>
      <c r="I58" s="16">
        <v>62.14666666666666</v>
      </c>
      <c r="J58" s="15" t="s">
        <v>15</v>
      </c>
      <c r="K58" s="15" t="s">
        <v>15</v>
      </c>
      <c r="L58" s="15"/>
    </row>
    <row r="59" spans="1:12" ht="21.75" customHeight="1">
      <c r="A59" s="6">
        <v>57</v>
      </c>
      <c r="B59" s="11">
        <v>214</v>
      </c>
      <c r="C59" s="12" t="s">
        <v>59</v>
      </c>
      <c r="D59" s="12" t="str">
        <f>"陆璐"</f>
        <v>陆璐</v>
      </c>
      <c r="E59" s="12" t="str">
        <f aca="true" t="shared" si="10" ref="E59:E65">"女"</f>
        <v>女</v>
      </c>
      <c r="F59" s="13" t="str">
        <f>"202105090111"</f>
        <v>202105090111</v>
      </c>
      <c r="G59" s="8">
        <v>75.3</v>
      </c>
      <c r="H59" s="8">
        <v>80.2</v>
      </c>
      <c r="I59" s="16">
        <v>67.985</v>
      </c>
      <c r="J59" s="15" t="s">
        <v>15</v>
      </c>
      <c r="K59" s="15" t="s">
        <v>15</v>
      </c>
      <c r="L59" s="15"/>
    </row>
    <row r="60" spans="1:12" ht="21.75" customHeight="1">
      <c r="A60" s="6">
        <v>58</v>
      </c>
      <c r="B60" s="11">
        <v>214</v>
      </c>
      <c r="C60" s="12" t="s">
        <v>59</v>
      </c>
      <c r="D60" s="12" t="str">
        <f>"孙诗绘"</f>
        <v>孙诗绘</v>
      </c>
      <c r="E60" s="12" t="str">
        <f t="shared" si="10"/>
        <v>女</v>
      </c>
      <c r="F60" s="13" t="str">
        <f>"202105090120"</f>
        <v>202105090120</v>
      </c>
      <c r="G60" s="8">
        <v>69.4</v>
      </c>
      <c r="H60" s="8">
        <v>83.8</v>
      </c>
      <c r="I60" s="16">
        <v>65.62333333333333</v>
      </c>
      <c r="J60" s="15" t="s">
        <v>15</v>
      </c>
      <c r="K60" s="15" t="s">
        <v>15</v>
      </c>
      <c r="L60" s="15" t="s">
        <v>26</v>
      </c>
    </row>
    <row r="61" spans="1:12" ht="21.75" customHeight="1">
      <c r="A61" s="6">
        <v>59</v>
      </c>
      <c r="B61" s="11">
        <v>215</v>
      </c>
      <c r="C61" s="12" t="s">
        <v>60</v>
      </c>
      <c r="D61" s="12" t="str">
        <f>"郑灿涛"</f>
        <v>郑灿涛</v>
      </c>
      <c r="E61" s="12" t="str">
        <f t="shared" si="9"/>
        <v>男</v>
      </c>
      <c r="F61" s="13" t="str">
        <f>"202105090205"</f>
        <v>202105090205</v>
      </c>
      <c r="G61" s="8">
        <v>74.2</v>
      </c>
      <c r="H61" s="8">
        <v>77.6</v>
      </c>
      <c r="I61" s="16">
        <v>66.56333333333333</v>
      </c>
      <c r="J61" s="15" t="s">
        <v>15</v>
      </c>
      <c r="K61" s="15" t="s">
        <v>15</v>
      </c>
      <c r="L61" s="15"/>
    </row>
    <row r="62" spans="1:12" ht="21.75" customHeight="1">
      <c r="A62" s="6">
        <v>60</v>
      </c>
      <c r="B62" s="11">
        <v>216</v>
      </c>
      <c r="C62" s="12" t="s">
        <v>61</v>
      </c>
      <c r="D62" s="12" t="str">
        <f>"苏晓"</f>
        <v>苏晓</v>
      </c>
      <c r="E62" s="12" t="str">
        <f t="shared" si="9"/>
        <v>男</v>
      </c>
      <c r="F62" s="13" t="str">
        <f>"202105090215"</f>
        <v>202105090215</v>
      </c>
      <c r="G62" s="8">
        <v>73.9</v>
      </c>
      <c r="H62" s="8">
        <v>79</v>
      </c>
      <c r="I62" s="16">
        <v>66.80833333333334</v>
      </c>
      <c r="J62" s="15" t="s">
        <v>15</v>
      </c>
      <c r="K62" s="15" t="s">
        <v>15</v>
      </c>
      <c r="L62" s="15"/>
    </row>
    <row r="63" spans="1:12" ht="21.75" customHeight="1">
      <c r="A63" s="6">
        <v>61</v>
      </c>
      <c r="B63" s="11">
        <v>217</v>
      </c>
      <c r="C63" s="12" t="s">
        <v>62</v>
      </c>
      <c r="D63" s="12" t="str">
        <f>"张佳倩"</f>
        <v>张佳倩</v>
      </c>
      <c r="E63" s="12" t="str">
        <f t="shared" si="10"/>
        <v>女</v>
      </c>
      <c r="F63" s="13" t="str">
        <f>"202105090218"</f>
        <v>202105090218</v>
      </c>
      <c r="G63" s="8">
        <v>67</v>
      </c>
      <c r="H63" s="8">
        <v>80.4</v>
      </c>
      <c r="I63" s="16">
        <v>63.20333333333333</v>
      </c>
      <c r="J63" s="15" t="s">
        <v>15</v>
      </c>
      <c r="K63" s="15" t="s">
        <v>15</v>
      </c>
      <c r="L63" s="15"/>
    </row>
    <row r="64" spans="1:12" ht="21.75" customHeight="1">
      <c r="A64" s="6">
        <v>62</v>
      </c>
      <c r="B64" s="11">
        <v>217</v>
      </c>
      <c r="C64" s="12" t="s">
        <v>62</v>
      </c>
      <c r="D64" s="12" t="str">
        <f>"刘嘉琦"</f>
        <v>刘嘉琦</v>
      </c>
      <c r="E64" s="12" t="str">
        <f t="shared" si="10"/>
        <v>女</v>
      </c>
      <c r="F64" s="13" t="str">
        <f>"202105090220"</f>
        <v>202105090220</v>
      </c>
      <c r="G64" s="8">
        <v>65.6</v>
      </c>
      <c r="H64" s="8">
        <v>82.6</v>
      </c>
      <c r="I64" s="16">
        <v>63.04666666666667</v>
      </c>
      <c r="J64" s="15" t="s">
        <v>15</v>
      </c>
      <c r="K64" s="15" t="s">
        <v>15</v>
      </c>
      <c r="L64" s="15"/>
    </row>
    <row r="65" spans="1:12" ht="21.75" customHeight="1">
      <c r="A65" s="6">
        <v>63</v>
      </c>
      <c r="B65" s="11">
        <v>217</v>
      </c>
      <c r="C65" s="12" t="s">
        <v>62</v>
      </c>
      <c r="D65" s="12" t="str">
        <f>"张少琪"</f>
        <v>张少琪</v>
      </c>
      <c r="E65" s="12" t="str">
        <f t="shared" si="10"/>
        <v>女</v>
      </c>
      <c r="F65" s="13" t="str">
        <f>"202105090222"</f>
        <v>202105090222</v>
      </c>
      <c r="G65" s="8">
        <v>66.5</v>
      </c>
      <c r="H65" s="8">
        <v>76.4</v>
      </c>
      <c r="I65" s="16">
        <v>61.711666666666666</v>
      </c>
      <c r="J65" s="15" t="s">
        <v>15</v>
      </c>
      <c r="K65" s="15" t="s">
        <v>15</v>
      </c>
      <c r="L65" s="15"/>
    </row>
    <row r="66" spans="1:12" ht="21.75" customHeight="1">
      <c r="A66" s="6">
        <v>64</v>
      </c>
      <c r="B66" s="11">
        <v>217</v>
      </c>
      <c r="C66" s="12" t="s">
        <v>62</v>
      </c>
      <c r="D66" s="12" t="str">
        <f>"李浩宇"</f>
        <v>李浩宇</v>
      </c>
      <c r="E66" s="12" t="str">
        <f aca="true" t="shared" si="11" ref="E66:E73">"男"</f>
        <v>男</v>
      </c>
      <c r="F66" s="13" t="str">
        <f>"202105090401"</f>
        <v>202105090401</v>
      </c>
      <c r="G66" s="8">
        <v>64.8</v>
      </c>
      <c r="H66" s="8">
        <v>79.4</v>
      </c>
      <c r="I66" s="16">
        <v>61.62</v>
      </c>
      <c r="J66" s="15" t="s">
        <v>15</v>
      </c>
      <c r="K66" s="15" t="s">
        <v>15</v>
      </c>
      <c r="L66" s="15"/>
    </row>
    <row r="67" spans="1:12" ht="21.75" customHeight="1">
      <c r="A67" s="6">
        <v>65</v>
      </c>
      <c r="B67" s="11">
        <v>217</v>
      </c>
      <c r="C67" s="12" t="s">
        <v>62</v>
      </c>
      <c r="D67" s="12" t="str">
        <f>"朱明珠"</f>
        <v>朱明珠</v>
      </c>
      <c r="E67" s="12" t="str">
        <f aca="true" t="shared" si="12" ref="E67:E70">"女"</f>
        <v>女</v>
      </c>
      <c r="F67" s="13" t="str">
        <f>"202105090225"</f>
        <v>202105090225</v>
      </c>
      <c r="G67" s="8">
        <v>66.4</v>
      </c>
      <c r="H67" s="8">
        <v>74.4</v>
      </c>
      <c r="I67" s="16">
        <v>61.053333333333335</v>
      </c>
      <c r="J67" s="15" t="s">
        <v>15</v>
      </c>
      <c r="K67" s="15" t="s">
        <v>15</v>
      </c>
      <c r="L67" s="15"/>
    </row>
    <row r="68" spans="1:12" ht="21.75" customHeight="1">
      <c r="A68" s="6">
        <v>66</v>
      </c>
      <c r="B68" s="11">
        <v>217</v>
      </c>
      <c r="C68" s="12" t="s">
        <v>62</v>
      </c>
      <c r="D68" s="12" t="str">
        <f>"王夜夜"</f>
        <v>王夜夜</v>
      </c>
      <c r="E68" s="12" t="str">
        <f t="shared" si="12"/>
        <v>女</v>
      </c>
      <c r="F68" s="13" t="str">
        <f>"202105090406"</f>
        <v>202105090406</v>
      </c>
      <c r="G68" s="8">
        <v>64.1</v>
      </c>
      <c r="H68" s="8">
        <v>77.7</v>
      </c>
      <c r="I68" s="16">
        <v>60.70166666666667</v>
      </c>
      <c r="J68" s="15" t="s">
        <v>15</v>
      </c>
      <c r="K68" s="15" t="s">
        <v>15</v>
      </c>
      <c r="L68" s="15"/>
    </row>
    <row r="69" spans="1:12" ht="21.75" customHeight="1">
      <c r="A69" s="6">
        <v>67</v>
      </c>
      <c r="B69" s="17">
        <v>301</v>
      </c>
      <c r="C69" s="18" t="s">
        <v>53</v>
      </c>
      <c r="D69" s="18" t="str">
        <f>"徐笑宇"</f>
        <v>徐笑宇</v>
      </c>
      <c r="E69" s="18" t="str">
        <f t="shared" si="11"/>
        <v>男</v>
      </c>
      <c r="F69" s="19" t="str">
        <f>"202105091326"</f>
        <v>202105091326</v>
      </c>
      <c r="G69" s="20">
        <v>98.6</v>
      </c>
      <c r="H69" s="20">
        <v>81.7</v>
      </c>
      <c r="I69" s="16">
        <v>82.02666666666667</v>
      </c>
      <c r="J69" s="16" t="s">
        <v>15</v>
      </c>
      <c r="K69" s="16" t="s">
        <v>15</v>
      </c>
      <c r="L69" s="18"/>
    </row>
    <row r="70" spans="1:12" ht="21.75" customHeight="1">
      <c r="A70" s="6">
        <v>68</v>
      </c>
      <c r="B70" s="17">
        <v>301</v>
      </c>
      <c r="C70" s="18" t="s">
        <v>53</v>
      </c>
      <c r="D70" s="18" t="str">
        <f>"高荣荣"</f>
        <v>高荣荣</v>
      </c>
      <c r="E70" s="18" t="str">
        <f t="shared" si="12"/>
        <v>女</v>
      </c>
      <c r="F70" s="19" t="str">
        <f>"202105091327"</f>
        <v>202105091327</v>
      </c>
      <c r="G70" s="20">
        <v>89.1</v>
      </c>
      <c r="H70" s="20">
        <v>83.2</v>
      </c>
      <c r="I70" s="16">
        <v>76.935</v>
      </c>
      <c r="J70" s="16" t="s">
        <v>15</v>
      </c>
      <c r="K70" s="16" t="s">
        <v>15</v>
      </c>
      <c r="L70" s="18"/>
    </row>
    <row r="71" spans="1:12" ht="21.75" customHeight="1">
      <c r="A71" s="6">
        <v>69</v>
      </c>
      <c r="B71" s="17">
        <v>301</v>
      </c>
      <c r="C71" s="18" t="s">
        <v>53</v>
      </c>
      <c r="D71" s="18" t="str">
        <f>"黄秋文"</f>
        <v>黄秋文</v>
      </c>
      <c r="E71" s="18" t="str">
        <f t="shared" si="11"/>
        <v>男</v>
      </c>
      <c r="F71" s="19" t="str">
        <f>"202105091314"</f>
        <v>202105091314</v>
      </c>
      <c r="G71" s="20">
        <v>90.1</v>
      </c>
      <c r="H71" s="20">
        <v>80</v>
      </c>
      <c r="I71" s="16">
        <v>76.55833333333334</v>
      </c>
      <c r="J71" s="16" t="s">
        <v>15</v>
      </c>
      <c r="K71" s="16" t="s">
        <v>15</v>
      </c>
      <c r="L71" s="18"/>
    </row>
    <row r="72" spans="1:12" ht="21.75" customHeight="1">
      <c r="A72" s="6">
        <v>70</v>
      </c>
      <c r="B72" s="17">
        <v>301</v>
      </c>
      <c r="C72" s="18" t="s">
        <v>53</v>
      </c>
      <c r="D72" s="18" t="str">
        <f>"于奇"</f>
        <v>于奇</v>
      </c>
      <c r="E72" s="18" t="str">
        <f t="shared" si="11"/>
        <v>男</v>
      </c>
      <c r="F72" s="19" t="str">
        <f>"202105091401"</f>
        <v>202105091401</v>
      </c>
      <c r="G72" s="20">
        <v>86.2</v>
      </c>
      <c r="H72" s="20">
        <v>79.8</v>
      </c>
      <c r="I72" s="16">
        <v>74.22333333333333</v>
      </c>
      <c r="J72" s="16" t="s">
        <v>15</v>
      </c>
      <c r="K72" s="16" t="s">
        <v>15</v>
      </c>
      <c r="L72" s="18"/>
    </row>
    <row r="73" spans="1:12" ht="21.75" customHeight="1">
      <c r="A73" s="6">
        <v>71</v>
      </c>
      <c r="B73" s="17">
        <v>303</v>
      </c>
      <c r="C73" s="18" t="s">
        <v>54</v>
      </c>
      <c r="D73" s="18" t="str">
        <f>"韩文峰"</f>
        <v>韩文峰</v>
      </c>
      <c r="E73" s="18" t="str">
        <f t="shared" si="11"/>
        <v>男</v>
      </c>
      <c r="F73" s="19" t="str">
        <f>"202105090929"</f>
        <v>202105090929</v>
      </c>
      <c r="G73" s="20">
        <v>93.4</v>
      </c>
      <c r="H73" s="20">
        <v>80.9</v>
      </c>
      <c r="I73" s="16">
        <v>78.75333333333333</v>
      </c>
      <c r="J73" s="16" t="s">
        <v>15</v>
      </c>
      <c r="K73" s="16" t="s">
        <v>15</v>
      </c>
      <c r="L73" s="18"/>
    </row>
    <row r="74" spans="1:12" ht="21.75" customHeight="1">
      <c r="A74" s="6">
        <v>72</v>
      </c>
      <c r="B74" s="17">
        <v>303</v>
      </c>
      <c r="C74" s="18" t="s">
        <v>54</v>
      </c>
      <c r="D74" s="18" t="str">
        <f>"张静"</f>
        <v>张静</v>
      </c>
      <c r="E74" s="18" t="str">
        <f>"女"</f>
        <v>女</v>
      </c>
      <c r="F74" s="19" t="str">
        <f>"202105090923"</f>
        <v>202105090923</v>
      </c>
      <c r="G74" s="20">
        <v>74.8</v>
      </c>
      <c r="H74" s="20">
        <v>79.8</v>
      </c>
      <c r="I74" s="16">
        <v>67.57333333333332</v>
      </c>
      <c r="J74" s="16" t="s">
        <v>15</v>
      </c>
      <c r="K74" s="16" t="s">
        <v>15</v>
      </c>
      <c r="L74" s="18"/>
    </row>
    <row r="75" spans="1:12" ht="21.75" customHeight="1">
      <c r="A75" s="6">
        <v>73</v>
      </c>
      <c r="B75" s="17">
        <v>304</v>
      </c>
      <c r="C75" s="18" t="s">
        <v>30</v>
      </c>
      <c r="D75" s="18" t="str">
        <f>"于洋"</f>
        <v>于洋</v>
      </c>
      <c r="E75" s="18" t="str">
        <f aca="true" t="shared" si="13" ref="E75:E78">"男"</f>
        <v>男</v>
      </c>
      <c r="F75" s="19" t="str">
        <f>"202105094523"</f>
        <v>202105094523</v>
      </c>
      <c r="G75" s="20">
        <v>70.9</v>
      </c>
      <c r="H75" s="20">
        <v>72.8</v>
      </c>
      <c r="I75" s="16">
        <v>63.19833333333334</v>
      </c>
      <c r="J75" s="16" t="s">
        <v>15</v>
      </c>
      <c r="K75" s="16" t="s">
        <v>15</v>
      </c>
      <c r="L75" s="18"/>
    </row>
    <row r="76" spans="1:12" ht="21.75" customHeight="1">
      <c r="A76" s="6">
        <v>74</v>
      </c>
      <c r="B76" s="17">
        <v>304</v>
      </c>
      <c r="C76" s="18" t="s">
        <v>30</v>
      </c>
      <c r="D76" s="18" t="str">
        <f>"张宇"</f>
        <v>张宇</v>
      </c>
      <c r="E76" s="18" t="str">
        <f t="shared" si="13"/>
        <v>男</v>
      </c>
      <c r="F76" s="19" t="str">
        <f>"202105094527"</f>
        <v>202105094527</v>
      </c>
      <c r="G76" s="20">
        <v>67.80000000000001</v>
      </c>
      <c r="H76" s="20">
        <v>78.8</v>
      </c>
      <c r="I76" s="16">
        <v>63.19</v>
      </c>
      <c r="J76" s="16" t="s">
        <v>15</v>
      </c>
      <c r="K76" s="16" t="s">
        <v>15</v>
      </c>
      <c r="L76" s="18"/>
    </row>
    <row r="77" spans="1:12" ht="21.75" customHeight="1">
      <c r="A77" s="6">
        <v>75</v>
      </c>
      <c r="B77" s="17">
        <v>304</v>
      </c>
      <c r="C77" s="18" t="s">
        <v>30</v>
      </c>
      <c r="D77" s="18" t="str">
        <f>"马胜劫"</f>
        <v>马胜劫</v>
      </c>
      <c r="E77" s="18" t="str">
        <f t="shared" si="13"/>
        <v>男</v>
      </c>
      <c r="F77" s="19" t="str">
        <f>"202105094504"</f>
        <v>202105094504</v>
      </c>
      <c r="G77" s="20">
        <v>70.4</v>
      </c>
      <c r="H77" s="20">
        <v>72.9</v>
      </c>
      <c r="I77" s="16">
        <v>62.93666666666667</v>
      </c>
      <c r="J77" s="16" t="s">
        <v>15</v>
      </c>
      <c r="K77" s="16" t="s">
        <v>15</v>
      </c>
      <c r="L77" s="18"/>
    </row>
    <row r="78" spans="1:12" ht="21.75" customHeight="1">
      <c r="A78" s="6">
        <v>76</v>
      </c>
      <c r="B78" s="17">
        <v>304</v>
      </c>
      <c r="C78" s="18" t="s">
        <v>30</v>
      </c>
      <c r="D78" s="18" t="str">
        <f>"解祥玉"</f>
        <v>解祥玉</v>
      </c>
      <c r="E78" s="18" t="str">
        <f t="shared" si="13"/>
        <v>男</v>
      </c>
      <c r="F78" s="19" t="str">
        <f>"202105094513"</f>
        <v>202105094513</v>
      </c>
      <c r="G78" s="20">
        <v>64.69999999999999</v>
      </c>
      <c r="H78" s="20">
        <v>81.18</v>
      </c>
      <c r="I78" s="16">
        <v>62.09566666666666</v>
      </c>
      <c r="J78" s="16" t="s">
        <v>15</v>
      </c>
      <c r="K78" s="16" t="s">
        <v>15</v>
      </c>
      <c r="L78" s="18"/>
    </row>
    <row r="79" spans="1:12" ht="21.75" customHeight="1">
      <c r="A79" s="6">
        <v>77</v>
      </c>
      <c r="B79" s="17">
        <v>305</v>
      </c>
      <c r="C79" s="18" t="s">
        <v>30</v>
      </c>
      <c r="D79" s="18" t="str">
        <f>"姜文娟"</f>
        <v>姜文娟</v>
      </c>
      <c r="E79" s="18" t="str">
        <f aca="true" t="shared" si="14" ref="E79:E94">"女"</f>
        <v>女</v>
      </c>
      <c r="F79" s="19" t="str">
        <f>"202105094713"</f>
        <v>202105094713</v>
      </c>
      <c r="G79" s="20">
        <v>80</v>
      </c>
      <c r="H79" s="20">
        <v>80.84</v>
      </c>
      <c r="I79" s="16">
        <v>70.91866666666667</v>
      </c>
      <c r="J79" s="16" t="s">
        <v>15</v>
      </c>
      <c r="K79" s="16" t="s">
        <v>15</v>
      </c>
      <c r="L79" s="18"/>
    </row>
    <row r="80" spans="1:12" ht="21.75" customHeight="1">
      <c r="A80" s="6">
        <v>78</v>
      </c>
      <c r="B80" s="17">
        <v>305</v>
      </c>
      <c r="C80" s="18" t="s">
        <v>30</v>
      </c>
      <c r="D80" s="18" t="str">
        <f>"张曼利"</f>
        <v>张曼利</v>
      </c>
      <c r="E80" s="18" t="str">
        <f t="shared" si="14"/>
        <v>女</v>
      </c>
      <c r="F80" s="19" t="str">
        <f>"202105094708"</f>
        <v>202105094708</v>
      </c>
      <c r="G80" s="20">
        <v>79.4</v>
      </c>
      <c r="H80" s="20">
        <v>79.3</v>
      </c>
      <c r="I80" s="16">
        <v>70.10666666666667</v>
      </c>
      <c r="J80" s="16" t="s">
        <v>15</v>
      </c>
      <c r="K80" s="16" t="s">
        <v>15</v>
      </c>
      <c r="L80" s="18"/>
    </row>
    <row r="81" spans="1:12" ht="21.75" customHeight="1">
      <c r="A81" s="6">
        <v>79</v>
      </c>
      <c r="B81" s="17">
        <v>305</v>
      </c>
      <c r="C81" s="18" t="s">
        <v>30</v>
      </c>
      <c r="D81" s="18" t="str">
        <f>"沈晓伟"</f>
        <v>沈晓伟</v>
      </c>
      <c r="E81" s="18" t="str">
        <f t="shared" si="14"/>
        <v>女</v>
      </c>
      <c r="F81" s="19" t="str">
        <f>"202105094629"</f>
        <v>202105094629</v>
      </c>
      <c r="G81" s="20">
        <v>76.4</v>
      </c>
      <c r="H81" s="20">
        <v>78.6</v>
      </c>
      <c r="I81" s="16">
        <v>68.14666666666668</v>
      </c>
      <c r="J81" s="16" t="s">
        <v>15</v>
      </c>
      <c r="K81" s="16" t="s">
        <v>15</v>
      </c>
      <c r="L81" s="21"/>
    </row>
    <row r="82" spans="1:12" ht="21.75" customHeight="1">
      <c r="A82" s="6">
        <v>80</v>
      </c>
      <c r="B82" s="17">
        <v>305</v>
      </c>
      <c r="C82" s="18" t="s">
        <v>30</v>
      </c>
      <c r="D82" s="18" t="str">
        <f>"王思宁"</f>
        <v>王思宁</v>
      </c>
      <c r="E82" s="18" t="str">
        <f t="shared" si="14"/>
        <v>女</v>
      </c>
      <c r="F82" s="19" t="str">
        <f>"202105094715"</f>
        <v>202105094715</v>
      </c>
      <c r="G82" s="20">
        <v>73.8</v>
      </c>
      <c r="H82" s="20">
        <v>83.6</v>
      </c>
      <c r="I82" s="16">
        <v>68.13</v>
      </c>
      <c r="J82" s="16" t="s">
        <v>15</v>
      </c>
      <c r="K82" s="16" t="s">
        <v>15</v>
      </c>
      <c r="L82" s="21"/>
    </row>
    <row r="83" spans="1:12" ht="21.75" customHeight="1">
      <c r="A83" s="6">
        <v>81</v>
      </c>
      <c r="B83" s="17">
        <v>306</v>
      </c>
      <c r="C83" s="18" t="s">
        <v>30</v>
      </c>
      <c r="D83" s="18" t="str">
        <f>"陆瑞婷"</f>
        <v>陆瑞婷</v>
      </c>
      <c r="E83" s="18" t="str">
        <f t="shared" si="14"/>
        <v>女</v>
      </c>
      <c r="F83" s="19" t="str">
        <f>"202105094806"</f>
        <v>202105094806</v>
      </c>
      <c r="G83" s="20">
        <v>90.5</v>
      </c>
      <c r="H83" s="20">
        <v>80.2</v>
      </c>
      <c r="I83" s="16">
        <v>76.85166666666666</v>
      </c>
      <c r="J83" s="16" t="s">
        <v>15</v>
      </c>
      <c r="K83" s="16" t="s">
        <v>15</v>
      </c>
      <c r="L83" s="21"/>
    </row>
    <row r="84" spans="1:12" ht="21.75" customHeight="1">
      <c r="A84" s="6">
        <v>82</v>
      </c>
      <c r="B84" s="17">
        <v>306</v>
      </c>
      <c r="C84" s="18" t="s">
        <v>30</v>
      </c>
      <c r="D84" s="18" t="str">
        <f>"谭丽"</f>
        <v>谭丽</v>
      </c>
      <c r="E84" s="18" t="str">
        <f t="shared" si="14"/>
        <v>女</v>
      </c>
      <c r="F84" s="19" t="str">
        <f>"202105095415"</f>
        <v>202105095415</v>
      </c>
      <c r="G84" s="20">
        <v>84.19999999999999</v>
      </c>
      <c r="H84" s="20">
        <v>80.1</v>
      </c>
      <c r="I84" s="16">
        <v>73.14666666666666</v>
      </c>
      <c r="J84" s="16" t="s">
        <v>15</v>
      </c>
      <c r="K84" s="16" t="s">
        <v>15</v>
      </c>
      <c r="L84" s="21"/>
    </row>
    <row r="85" spans="1:12" ht="21.75" customHeight="1">
      <c r="A85" s="6">
        <v>83</v>
      </c>
      <c r="B85" s="17">
        <v>306</v>
      </c>
      <c r="C85" s="18" t="s">
        <v>30</v>
      </c>
      <c r="D85" s="18" t="str">
        <f>"杨孟迪"</f>
        <v>杨孟迪</v>
      </c>
      <c r="E85" s="18" t="str">
        <f t="shared" si="14"/>
        <v>女</v>
      </c>
      <c r="F85" s="19" t="str">
        <f>"202105095302"</f>
        <v>202105095302</v>
      </c>
      <c r="G85" s="20">
        <v>80.9</v>
      </c>
      <c r="H85" s="20">
        <v>82.8</v>
      </c>
      <c r="I85" s="16">
        <v>72.03166666666667</v>
      </c>
      <c r="J85" s="16" t="s">
        <v>15</v>
      </c>
      <c r="K85" s="16" t="s">
        <v>15</v>
      </c>
      <c r="L85" s="21"/>
    </row>
    <row r="86" spans="1:12" ht="21.75" customHeight="1">
      <c r="A86" s="6">
        <v>84</v>
      </c>
      <c r="B86" s="17">
        <v>306</v>
      </c>
      <c r="C86" s="18" t="s">
        <v>30</v>
      </c>
      <c r="D86" s="18" t="str">
        <f>"曹梦茹"</f>
        <v>曹梦茹</v>
      </c>
      <c r="E86" s="18" t="str">
        <f t="shared" si="14"/>
        <v>女</v>
      </c>
      <c r="F86" s="19" t="str">
        <f>"202105095021"</f>
        <v>202105095021</v>
      </c>
      <c r="G86" s="20">
        <v>82.4</v>
      </c>
      <c r="H86" s="20">
        <v>79.2</v>
      </c>
      <c r="I86" s="16">
        <v>71.82666666666667</v>
      </c>
      <c r="J86" s="16" t="s">
        <v>15</v>
      </c>
      <c r="K86" s="16" t="s">
        <v>15</v>
      </c>
      <c r="L86" s="21"/>
    </row>
    <row r="87" spans="1:12" ht="21.75" customHeight="1">
      <c r="A87" s="6">
        <v>85</v>
      </c>
      <c r="B87" s="17">
        <v>306</v>
      </c>
      <c r="C87" s="18" t="s">
        <v>30</v>
      </c>
      <c r="D87" s="18" t="str">
        <f>"楚悦悦"</f>
        <v>楚悦悦</v>
      </c>
      <c r="E87" s="18" t="str">
        <f t="shared" si="14"/>
        <v>女</v>
      </c>
      <c r="F87" s="19" t="str">
        <f>"202105095227"</f>
        <v>202105095227</v>
      </c>
      <c r="G87" s="20">
        <v>83.6</v>
      </c>
      <c r="H87" s="20">
        <v>75.2</v>
      </c>
      <c r="I87" s="16">
        <v>71.32666666666667</v>
      </c>
      <c r="J87" s="16" t="s">
        <v>15</v>
      </c>
      <c r="K87" s="16" t="s">
        <v>15</v>
      </c>
      <c r="L87" s="21"/>
    </row>
    <row r="88" spans="1:12" ht="21.75" customHeight="1">
      <c r="A88" s="6">
        <v>86</v>
      </c>
      <c r="B88" s="17">
        <v>306</v>
      </c>
      <c r="C88" s="18" t="s">
        <v>30</v>
      </c>
      <c r="D88" s="18" t="str">
        <f>"耿静"</f>
        <v>耿静</v>
      </c>
      <c r="E88" s="18" t="str">
        <f t="shared" si="14"/>
        <v>女</v>
      </c>
      <c r="F88" s="19" t="str">
        <f>"202105095221"</f>
        <v>202105095221</v>
      </c>
      <c r="G88" s="20">
        <v>82.69999999999999</v>
      </c>
      <c r="H88" s="20">
        <v>76</v>
      </c>
      <c r="I88" s="16">
        <v>71.04166666666666</v>
      </c>
      <c r="J88" s="16" t="s">
        <v>15</v>
      </c>
      <c r="K88" s="16" t="s">
        <v>15</v>
      </c>
      <c r="L88" s="21"/>
    </row>
    <row r="89" spans="1:12" ht="21.75" customHeight="1">
      <c r="A89" s="6">
        <v>87</v>
      </c>
      <c r="B89" s="17">
        <v>306</v>
      </c>
      <c r="C89" s="18" t="s">
        <v>30</v>
      </c>
      <c r="D89" s="18" t="str">
        <f>"李悦悦"</f>
        <v>李悦悦</v>
      </c>
      <c r="E89" s="18" t="str">
        <f t="shared" si="14"/>
        <v>女</v>
      </c>
      <c r="F89" s="19" t="str">
        <f>"202105095202"</f>
        <v>202105095202</v>
      </c>
      <c r="G89" s="20">
        <v>80.2</v>
      </c>
      <c r="H89" s="20">
        <v>79.2</v>
      </c>
      <c r="I89" s="16">
        <v>70.54333333333334</v>
      </c>
      <c r="J89" s="16" t="s">
        <v>15</v>
      </c>
      <c r="K89" s="16" t="s">
        <v>15</v>
      </c>
      <c r="L89" s="21"/>
    </row>
    <row r="90" spans="1:12" ht="21.75" customHeight="1">
      <c r="A90" s="6">
        <v>88</v>
      </c>
      <c r="B90" s="17">
        <v>306</v>
      </c>
      <c r="C90" s="18" t="s">
        <v>30</v>
      </c>
      <c r="D90" s="18" t="str">
        <f>"孙悦"</f>
        <v>孙悦</v>
      </c>
      <c r="E90" s="18" t="str">
        <f t="shared" si="14"/>
        <v>女</v>
      </c>
      <c r="F90" s="19" t="str">
        <f>"202105094810"</f>
        <v>202105094810</v>
      </c>
      <c r="G90" s="20">
        <v>80.5</v>
      </c>
      <c r="H90" s="20">
        <v>78.4</v>
      </c>
      <c r="I90" s="16">
        <v>70.47833333333334</v>
      </c>
      <c r="J90" s="16" t="s">
        <v>15</v>
      </c>
      <c r="K90" s="16" t="s">
        <v>15</v>
      </c>
      <c r="L90" s="21"/>
    </row>
    <row r="91" spans="1:12" ht="21.75" customHeight="1">
      <c r="A91" s="6">
        <v>89</v>
      </c>
      <c r="B91" s="17">
        <v>306</v>
      </c>
      <c r="C91" s="18" t="s">
        <v>30</v>
      </c>
      <c r="D91" s="18" t="str">
        <f>"解雪"</f>
        <v>解雪</v>
      </c>
      <c r="E91" s="18" t="str">
        <f t="shared" si="14"/>
        <v>女</v>
      </c>
      <c r="F91" s="19" t="str">
        <f>"202105094813"</f>
        <v>202105094813</v>
      </c>
      <c r="G91" s="20">
        <v>81</v>
      </c>
      <c r="H91" s="20">
        <v>77.4</v>
      </c>
      <c r="I91" s="16">
        <v>70.47</v>
      </c>
      <c r="J91" s="16" t="s">
        <v>15</v>
      </c>
      <c r="K91" s="16" t="s">
        <v>15</v>
      </c>
      <c r="L91" s="21"/>
    </row>
    <row r="92" spans="1:12" ht="21.75" customHeight="1">
      <c r="A92" s="6">
        <v>90</v>
      </c>
      <c r="B92" s="17">
        <v>306</v>
      </c>
      <c r="C92" s="18" t="s">
        <v>30</v>
      </c>
      <c r="D92" s="18" t="str">
        <f>"姚兰影"</f>
        <v>姚兰影</v>
      </c>
      <c r="E92" s="18" t="str">
        <f t="shared" si="14"/>
        <v>女</v>
      </c>
      <c r="F92" s="19" t="str">
        <f>"202105095219"</f>
        <v>202105095219</v>
      </c>
      <c r="G92" s="20">
        <v>80.7</v>
      </c>
      <c r="H92" s="20">
        <v>77.6</v>
      </c>
      <c r="I92" s="16">
        <v>70.35499999999999</v>
      </c>
      <c r="J92" s="16" t="s">
        <v>15</v>
      </c>
      <c r="K92" s="16" t="s">
        <v>15</v>
      </c>
      <c r="L92" s="21"/>
    </row>
    <row r="93" spans="1:12" ht="21.75" customHeight="1">
      <c r="A93" s="6">
        <v>91</v>
      </c>
      <c r="B93" s="17">
        <v>306</v>
      </c>
      <c r="C93" s="18" t="s">
        <v>30</v>
      </c>
      <c r="D93" s="18" t="str">
        <f>"王静宜"</f>
        <v>王静宜</v>
      </c>
      <c r="E93" s="18" t="str">
        <f t="shared" si="14"/>
        <v>女</v>
      </c>
      <c r="F93" s="19" t="str">
        <f>"202105095322"</f>
        <v>202105095322</v>
      </c>
      <c r="G93" s="20">
        <v>77.69999999999999</v>
      </c>
      <c r="H93" s="20">
        <v>82.2</v>
      </c>
      <c r="I93" s="16">
        <v>69.985</v>
      </c>
      <c r="J93" s="16" t="s">
        <v>15</v>
      </c>
      <c r="K93" s="16" t="s">
        <v>15</v>
      </c>
      <c r="L93" s="21"/>
    </row>
    <row r="94" spans="1:12" ht="21.75" customHeight="1">
      <c r="A94" s="6">
        <v>92</v>
      </c>
      <c r="B94" s="17">
        <v>306</v>
      </c>
      <c r="C94" s="18" t="s">
        <v>30</v>
      </c>
      <c r="D94" s="18" t="str">
        <f>"张奥杰"</f>
        <v>张奥杰</v>
      </c>
      <c r="E94" s="18" t="str">
        <f t="shared" si="14"/>
        <v>女</v>
      </c>
      <c r="F94" s="19" t="str">
        <f>"202105095012"</f>
        <v>202105095012</v>
      </c>
      <c r="G94" s="20">
        <v>78.80000000000001</v>
      </c>
      <c r="H94" s="20">
        <v>79.2</v>
      </c>
      <c r="I94" s="16">
        <v>69.72666666666667</v>
      </c>
      <c r="J94" s="16" t="s">
        <v>15</v>
      </c>
      <c r="K94" s="16" t="s">
        <v>15</v>
      </c>
      <c r="L94" s="21"/>
    </row>
    <row r="95" spans="1:12" ht="21.75" customHeight="1">
      <c r="A95" s="6">
        <v>93</v>
      </c>
      <c r="B95" s="21">
        <v>306</v>
      </c>
      <c r="C95" s="21" t="s">
        <v>30</v>
      </c>
      <c r="D95" s="21" t="s">
        <v>63</v>
      </c>
      <c r="E95" s="21" t="s">
        <v>64</v>
      </c>
      <c r="F95" s="22" t="s">
        <v>65</v>
      </c>
      <c r="G95" s="23">
        <v>78</v>
      </c>
      <c r="H95" s="23">
        <v>80.4</v>
      </c>
      <c r="I95" s="23">
        <v>69.62</v>
      </c>
      <c r="J95" s="16" t="s">
        <v>15</v>
      </c>
      <c r="K95" s="16" t="s">
        <v>15</v>
      </c>
      <c r="L95" s="21" t="s">
        <v>26</v>
      </c>
    </row>
    <row r="96" spans="1:12" ht="21.75" customHeight="1">
      <c r="A96" s="6">
        <v>94</v>
      </c>
      <c r="B96" s="17">
        <v>307</v>
      </c>
      <c r="C96" s="18" t="s">
        <v>66</v>
      </c>
      <c r="D96" s="18" t="str">
        <f>"刘雪兰"</f>
        <v>刘雪兰</v>
      </c>
      <c r="E96" s="18" t="str">
        <f>"女"</f>
        <v>女</v>
      </c>
      <c r="F96" s="19" t="str">
        <f>"202105091421"</f>
        <v>202105091421</v>
      </c>
      <c r="G96" s="20">
        <v>79.9</v>
      </c>
      <c r="H96" s="20">
        <v>82</v>
      </c>
      <c r="I96" s="16">
        <v>71.20833333333333</v>
      </c>
      <c r="J96" s="16" t="s">
        <v>15</v>
      </c>
      <c r="K96" s="16" t="s">
        <v>15</v>
      </c>
      <c r="L96" s="21"/>
    </row>
    <row r="97" spans="1:12" ht="21.75" customHeight="1">
      <c r="A97" s="6">
        <v>95</v>
      </c>
      <c r="B97" s="17">
        <v>307</v>
      </c>
      <c r="C97" s="18" t="s">
        <v>66</v>
      </c>
      <c r="D97" s="18" t="str">
        <f>"李瑞东"</f>
        <v>李瑞东</v>
      </c>
      <c r="E97" s="18" t="str">
        <f aca="true" t="shared" si="15" ref="E97:E101">"男"</f>
        <v>男</v>
      </c>
      <c r="F97" s="19" t="str">
        <f>"202105091420"</f>
        <v>202105091420</v>
      </c>
      <c r="G97" s="20">
        <v>78</v>
      </c>
      <c r="H97" s="20">
        <v>79.3</v>
      </c>
      <c r="I97" s="16">
        <v>69.28999999999999</v>
      </c>
      <c r="J97" s="16" t="s">
        <v>15</v>
      </c>
      <c r="K97" s="16" t="s">
        <v>15</v>
      </c>
      <c r="L97" s="21"/>
    </row>
    <row r="98" spans="1:12" ht="21.75" customHeight="1">
      <c r="A98" s="6">
        <v>96</v>
      </c>
      <c r="B98" s="17">
        <v>309</v>
      </c>
      <c r="C98" s="18" t="s">
        <v>56</v>
      </c>
      <c r="D98" s="18" t="str">
        <f>"陶仁义"</f>
        <v>陶仁义</v>
      </c>
      <c r="E98" s="18" t="str">
        <f t="shared" si="15"/>
        <v>男</v>
      </c>
      <c r="F98" s="19" t="str">
        <f>"202105091426"</f>
        <v>202105091426</v>
      </c>
      <c r="G98" s="20">
        <v>80.1</v>
      </c>
      <c r="H98" s="20">
        <v>79.8</v>
      </c>
      <c r="I98" s="16">
        <v>70.66499999999999</v>
      </c>
      <c r="J98" s="16" t="s">
        <v>15</v>
      </c>
      <c r="K98" s="16" t="s">
        <v>15</v>
      </c>
      <c r="L98" s="21"/>
    </row>
    <row r="99" spans="1:12" ht="21.75" customHeight="1">
      <c r="A99" s="6">
        <v>97</v>
      </c>
      <c r="B99" s="17">
        <v>309</v>
      </c>
      <c r="C99" s="18" t="s">
        <v>56</v>
      </c>
      <c r="D99" s="18" t="str">
        <f>"李路路"</f>
        <v>李路路</v>
      </c>
      <c r="E99" s="18" t="str">
        <f t="shared" si="15"/>
        <v>男</v>
      </c>
      <c r="F99" s="19" t="str">
        <f>"202105091425"</f>
        <v>202105091425</v>
      </c>
      <c r="G99" s="20">
        <v>65.4</v>
      </c>
      <c r="H99" s="20">
        <v>77.8</v>
      </c>
      <c r="I99" s="16">
        <v>61.49000000000001</v>
      </c>
      <c r="J99" s="16" t="s">
        <v>15</v>
      </c>
      <c r="K99" s="16" t="s">
        <v>15</v>
      </c>
      <c r="L99" s="21"/>
    </row>
    <row r="100" spans="1:12" ht="21.75" customHeight="1">
      <c r="A100" s="6">
        <v>98</v>
      </c>
      <c r="B100" s="17">
        <v>310</v>
      </c>
      <c r="C100" s="18" t="s">
        <v>67</v>
      </c>
      <c r="D100" s="18" t="str">
        <f>"王汉林"</f>
        <v>王汉林</v>
      </c>
      <c r="E100" s="18" t="str">
        <f t="shared" si="15"/>
        <v>男</v>
      </c>
      <c r="F100" s="19" t="str">
        <f>"202105091515"</f>
        <v>202105091515</v>
      </c>
      <c r="G100" s="20">
        <v>71.2</v>
      </c>
      <c r="H100" s="20">
        <v>82.7</v>
      </c>
      <c r="I100" s="16">
        <v>66.34333333333333</v>
      </c>
      <c r="J100" s="16" t="s">
        <v>15</v>
      </c>
      <c r="K100" s="16" t="s">
        <v>15</v>
      </c>
      <c r="L100" s="21"/>
    </row>
    <row r="101" spans="1:12" ht="21.75" customHeight="1">
      <c r="A101" s="6">
        <v>99</v>
      </c>
      <c r="B101" s="17">
        <v>310</v>
      </c>
      <c r="C101" s="18" t="s">
        <v>67</v>
      </c>
      <c r="D101" s="18" t="str">
        <f>"谢圣可"</f>
        <v>谢圣可</v>
      </c>
      <c r="E101" s="18" t="str">
        <f t="shared" si="15"/>
        <v>男</v>
      </c>
      <c r="F101" s="19" t="str">
        <f>"202105091525"</f>
        <v>202105091525</v>
      </c>
      <c r="G101" s="20">
        <v>70.19999999999999</v>
      </c>
      <c r="H101" s="20">
        <v>78.5</v>
      </c>
      <c r="I101" s="16">
        <v>64.5</v>
      </c>
      <c r="J101" s="16" t="s">
        <v>15</v>
      </c>
      <c r="K101" s="16" t="s">
        <v>15</v>
      </c>
      <c r="L101" s="21"/>
    </row>
    <row r="102" spans="1:12" ht="21.75" customHeight="1">
      <c r="A102" s="6">
        <v>100</v>
      </c>
      <c r="B102" s="17">
        <v>311</v>
      </c>
      <c r="C102" s="18" t="s">
        <v>48</v>
      </c>
      <c r="D102" s="18" t="str">
        <f>"寇倩倩"</f>
        <v>寇倩倩</v>
      </c>
      <c r="E102" s="18" t="str">
        <f aca="true" t="shared" si="16" ref="E102:E106">"女"</f>
        <v>女</v>
      </c>
      <c r="F102" s="19" t="str">
        <f>"202105091612"</f>
        <v>202105091612</v>
      </c>
      <c r="G102" s="20">
        <v>86.80000000000001</v>
      </c>
      <c r="H102" s="20">
        <v>78.7</v>
      </c>
      <c r="I102" s="16">
        <v>74.24333333333334</v>
      </c>
      <c r="J102" s="16" t="s">
        <v>15</v>
      </c>
      <c r="K102" s="16" t="s">
        <v>15</v>
      </c>
      <c r="L102" s="21"/>
    </row>
    <row r="103" spans="1:12" ht="21.75" customHeight="1">
      <c r="A103" s="6">
        <v>101</v>
      </c>
      <c r="B103" s="17">
        <v>312</v>
      </c>
      <c r="C103" s="18" t="s">
        <v>68</v>
      </c>
      <c r="D103" s="18" t="str">
        <f>"谢聪"</f>
        <v>谢聪</v>
      </c>
      <c r="E103" s="18" t="str">
        <f t="shared" si="16"/>
        <v>女</v>
      </c>
      <c r="F103" s="19" t="str">
        <f>"202105090430"</f>
        <v>202105090430</v>
      </c>
      <c r="G103" s="20">
        <v>77.9</v>
      </c>
      <c r="H103" s="20">
        <v>82.7</v>
      </c>
      <c r="I103" s="16">
        <v>70.25166666666667</v>
      </c>
      <c r="J103" s="16" t="s">
        <v>15</v>
      </c>
      <c r="K103" s="16" t="s">
        <v>15</v>
      </c>
      <c r="L103" s="21"/>
    </row>
    <row r="104" spans="1:12" ht="21.75" customHeight="1">
      <c r="A104" s="6">
        <v>102</v>
      </c>
      <c r="B104" s="17">
        <v>312</v>
      </c>
      <c r="C104" s="18" t="s">
        <v>68</v>
      </c>
      <c r="D104" s="18" t="str">
        <f>"李治强"</f>
        <v>李治强</v>
      </c>
      <c r="E104" s="18" t="str">
        <f aca="true" t="shared" si="17" ref="E104:E112">"男"</f>
        <v>男</v>
      </c>
      <c r="F104" s="19" t="str">
        <f>"202105090411"</f>
        <v>202105090411</v>
      </c>
      <c r="G104" s="20">
        <v>76</v>
      </c>
      <c r="H104" s="20">
        <v>81.6</v>
      </c>
      <c r="I104" s="16">
        <v>68.81333333333333</v>
      </c>
      <c r="J104" s="16" t="s">
        <v>15</v>
      </c>
      <c r="K104" s="16" t="s">
        <v>15</v>
      </c>
      <c r="L104" s="21"/>
    </row>
    <row r="105" spans="1:12" ht="21.75" customHeight="1">
      <c r="A105" s="6">
        <v>103</v>
      </c>
      <c r="B105" s="17">
        <v>313</v>
      </c>
      <c r="C105" s="18" t="s">
        <v>68</v>
      </c>
      <c r="D105" s="18" t="str">
        <f>"魏晓仝"</f>
        <v>魏晓仝</v>
      </c>
      <c r="E105" s="18" t="str">
        <f t="shared" si="17"/>
        <v>男</v>
      </c>
      <c r="F105" s="19" t="str">
        <f>"202105090512"</f>
        <v>202105090512</v>
      </c>
      <c r="G105" s="20">
        <v>80.3</v>
      </c>
      <c r="H105" s="20">
        <v>82.4</v>
      </c>
      <c r="I105" s="16">
        <v>71.56166666666667</v>
      </c>
      <c r="J105" s="16" t="s">
        <v>15</v>
      </c>
      <c r="K105" s="16" t="s">
        <v>15</v>
      </c>
      <c r="L105" s="21"/>
    </row>
    <row r="106" spans="1:12" ht="21.75" customHeight="1">
      <c r="A106" s="6">
        <v>104</v>
      </c>
      <c r="B106" s="17">
        <v>313</v>
      </c>
      <c r="C106" s="18" t="s">
        <v>68</v>
      </c>
      <c r="D106" s="18" t="str">
        <f>"李梦"</f>
        <v>李梦</v>
      </c>
      <c r="E106" s="18" t="str">
        <f t="shared" si="16"/>
        <v>女</v>
      </c>
      <c r="F106" s="19" t="str">
        <f>"202105090516"</f>
        <v>202105090516</v>
      </c>
      <c r="G106" s="20">
        <v>73.9</v>
      </c>
      <c r="H106" s="20">
        <v>81.8</v>
      </c>
      <c r="I106" s="16">
        <v>67.64833333333334</v>
      </c>
      <c r="J106" s="16" t="s">
        <v>15</v>
      </c>
      <c r="K106" s="16" t="s">
        <v>15</v>
      </c>
      <c r="L106" s="21"/>
    </row>
    <row r="107" spans="1:12" ht="21.75" customHeight="1">
      <c r="A107" s="6">
        <v>105</v>
      </c>
      <c r="B107" s="17">
        <v>314</v>
      </c>
      <c r="C107" s="18" t="s">
        <v>69</v>
      </c>
      <c r="D107" s="18" t="str">
        <f>"王志强"</f>
        <v>王志强</v>
      </c>
      <c r="E107" s="18" t="str">
        <f t="shared" si="17"/>
        <v>男</v>
      </c>
      <c r="F107" s="19" t="str">
        <f>"202105090526"</f>
        <v>202105090526</v>
      </c>
      <c r="G107" s="20">
        <v>66.3</v>
      </c>
      <c r="H107" s="20">
        <v>79.9</v>
      </c>
      <c r="I107" s="16">
        <v>62.645</v>
      </c>
      <c r="J107" s="16" t="s">
        <v>15</v>
      </c>
      <c r="K107" s="16" t="s">
        <v>15</v>
      </c>
      <c r="L107" s="21"/>
    </row>
    <row r="108" spans="1:12" ht="21.75" customHeight="1">
      <c r="A108" s="6">
        <v>106</v>
      </c>
      <c r="B108" s="17">
        <v>315</v>
      </c>
      <c r="C108" s="18" t="s">
        <v>61</v>
      </c>
      <c r="D108" s="18" t="str">
        <f>"马云明"</f>
        <v>马云明</v>
      </c>
      <c r="E108" s="18" t="str">
        <f t="shared" si="17"/>
        <v>男</v>
      </c>
      <c r="F108" s="19" t="str">
        <f>"202105090607"</f>
        <v>202105090607</v>
      </c>
      <c r="G108" s="20">
        <v>81.7</v>
      </c>
      <c r="H108" s="20">
        <v>80</v>
      </c>
      <c r="I108" s="16">
        <v>71.65833333333333</v>
      </c>
      <c r="J108" s="16" t="s">
        <v>15</v>
      </c>
      <c r="K108" s="16" t="s">
        <v>15</v>
      </c>
      <c r="L108" s="21"/>
    </row>
    <row r="109" spans="1:12" ht="21.75" customHeight="1">
      <c r="A109" s="6">
        <v>107</v>
      </c>
      <c r="B109" s="17">
        <v>316</v>
      </c>
      <c r="C109" s="18" t="s">
        <v>70</v>
      </c>
      <c r="D109" s="18" t="str">
        <f>"于波"</f>
        <v>于波</v>
      </c>
      <c r="E109" s="18" t="str">
        <f t="shared" si="17"/>
        <v>男</v>
      </c>
      <c r="F109" s="19" t="str">
        <f>"202105090710"</f>
        <v>202105090710</v>
      </c>
      <c r="G109" s="20">
        <v>78.8</v>
      </c>
      <c r="H109" s="20">
        <v>75.6</v>
      </c>
      <c r="I109" s="16">
        <v>68.64666666666666</v>
      </c>
      <c r="J109" s="16" t="s">
        <v>15</v>
      </c>
      <c r="K109" s="16" t="s">
        <v>15</v>
      </c>
      <c r="L109" s="21"/>
    </row>
    <row r="110" spans="1:12" ht="21.75" customHeight="1">
      <c r="A110" s="6">
        <v>108</v>
      </c>
      <c r="B110" s="17">
        <v>316</v>
      </c>
      <c r="C110" s="18" t="s">
        <v>70</v>
      </c>
      <c r="D110" s="18" t="str">
        <f>"郑雨波"</f>
        <v>郑雨波</v>
      </c>
      <c r="E110" s="18" t="str">
        <f t="shared" si="17"/>
        <v>男</v>
      </c>
      <c r="F110" s="19" t="str">
        <f>"202105090619"</f>
        <v>202105090619</v>
      </c>
      <c r="G110" s="20">
        <v>74.6</v>
      </c>
      <c r="H110" s="20">
        <v>81</v>
      </c>
      <c r="I110" s="16">
        <v>67.81666666666666</v>
      </c>
      <c r="J110" s="16" t="s">
        <v>15</v>
      </c>
      <c r="K110" s="16" t="s">
        <v>15</v>
      </c>
      <c r="L110" s="21"/>
    </row>
    <row r="111" spans="1:12" ht="21.75" customHeight="1">
      <c r="A111" s="6">
        <v>109</v>
      </c>
      <c r="B111" s="17">
        <v>317</v>
      </c>
      <c r="C111" s="18" t="s">
        <v>70</v>
      </c>
      <c r="D111" s="18" t="str">
        <f>"孙浩"</f>
        <v>孙浩</v>
      </c>
      <c r="E111" s="18" t="str">
        <f t="shared" si="17"/>
        <v>男</v>
      </c>
      <c r="F111" s="19" t="str">
        <f>"202105090804"</f>
        <v>202105090804</v>
      </c>
      <c r="G111" s="20">
        <v>66.4</v>
      </c>
      <c r="H111" s="20">
        <v>85.2</v>
      </c>
      <c r="I111" s="16">
        <v>64.29333333333334</v>
      </c>
      <c r="J111" s="16" t="s">
        <v>15</v>
      </c>
      <c r="K111" s="16" t="s">
        <v>15</v>
      </c>
      <c r="L111" s="21"/>
    </row>
    <row r="112" spans="1:12" ht="21.75" customHeight="1">
      <c r="A112" s="6">
        <v>110</v>
      </c>
      <c r="B112" s="17">
        <v>317</v>
      </c>
      <c r="C112" s="18" t="s">
        <v>70</v>
      </c>
      <c r="D112" s="18" t="str">
        <f>"夏志强"</f>
        <v>夏志强</v>
      </c>
      <c r="E112" s="18" t="str">
        <f t="shared" si="17"/>
        <v>男</v>
      </c>
      <c r="F112" s="19" t="str">
        <f>"202105090827"</f>
        <v>202105090827</v>
      </c>
      <c r="G112" s="20">
        <v>66</v>
      </c>
      <c r="H112" s="20">
        <v>80.1</v>
      </c>
      <c r="I112" s="16">
        <v>62.53</v>
      </c>
      <c r="J112" s="16" t="s">
        <v>15</v>
      </c>
      <c r="K112" s="16" t="s">
        <v>15</v>
      </c>
      <c r="L112" s="21"/>
    </row>
    <row r="113" spans="1:12" ht="21.75" customHeight="1">
      <c r="A113" s="6">
        <v>111</v>
      </c>
      <c r="B113" s="7">
        <v>401</v>
      </c>
      <c r="C113" s="6" t="s">
        <v>71</v>
      </c>
      <c r="D113" s="6" t="str">
        <f>"陈雪阳"</f>
        <v>陈雪阳</v>
      </c>
      <c r="E113" s="6" t="str">
        <f aca="true" t="shared" si="18" ref="E113:E116">"女"</f>
        <v>女</v>
      </c>
      <c r="F113" s="6" t="s">
        <v>72</v>
      </c>
      <c r="G113" s="8">
        <v>69.5</v>
      </c>
      <c r="H113" s="8">
        <v>80</v>
      </c>
      <c r="I113" s="16">
        <v>64.54166666666666</v>
      </c>
      <c r="J113" s="16" t="s">
        <v>15</v>
      </c>
      <c r="K113" s="16" t="s">
        <v>15</v>
      </c>
      <c r="L113" s="24"/>
    </row>
    <row r="114" spans="1:12" ht="21.75" customHeight="1">
      <c r="A114" s="6">
        <v>112</v>
      </c>
      <c r="B114" s="7">
        <v>401</v>
      </c>
      <c r="C114" s="6" t="s">
        <v>71</v>
      </c>
      <c r="D114" s="6" t="str">
        <f>"姜倩倩"</f>
        <v>姜倩倩</v>
      </c>
      <c r="E114" s="6" t="str">
        <f t="shared" si="18"/>
        <v>女</v>
      </c>
      <c r="F114" s="6" t="s">
        <v>73</v>
      </c>
      <c r="G114" s="8">
        <v>66</v>
      </c>
      <c r="H114" s="8">
        <v>75.6</v>
      </c>
      <c r="I114" s="16">
        <v>61.17999999999999</v>
      </c>
      <c r="J114" s="16" t="s">
        <v>15</v>
      </c>
      <c r="K114" s="16" t="s">
        <v>15</v>
      </c>
      <c r="L114" s="24"/>
    </row>
    <row r="115" spans="1:12" ht="21.75" customHeight="1">
      <c r="A115" s="6">
        <v>113</v>
      </c>
      <c r="B115" s="7">
        <v>403</v>
      </c>
      <c r="C115" s="6" t="s">
        <v>13</v>
      </c>
      <c r="D115" s="6" t="str">
        <f>"李江涛"</f>
        <v>李江涛</v>
      </c>
      <c r="E115" s="6" t="str">
        <f>"男"</f>
        <v>男</v>
      </c>
      <c r="F115" s="6" t="s">
        <v>74</v>
      </c>
      <c r="G115" s="8">
        <v>72.3</v>
      </c>
      <c r="H115" s="8">
        <v>77.4</v>
      </c>
      <c r="I115" s="16">
        <v>65.395</v>
      </c>
      <c r="J115" s="16" t="s">
        <v>15</v>
      </c>
      <c r="K115" s="16" t="s">
        <v>15</v>
      </c>
      <c r="L115" s="24"/>
    </row>
    <row r="116" spans="1:12" ht="21.75" customHeight="1">
      <c r="A116" s="6">
        <v>114</v>
      </c>
      <c r="B116" s="7">
        <v>404</v>
      </c>
      <c r="C116" s="6" t="s">
        <v>13</v>
      </c>
      <c r="D116" s="6" t="str">
        <f>"杨安琪"</f>
        <v>杨安琪</v>
      </c>
      <c r="E116" s="6" t="str">
        <f t="shared" si="18"/>
        <v>女</v>
      </c>
      <c r="F116" s="6" t="s">
        <v>75</v>
      </c>
      <c r="G116" s="8">
        <v>71.9</v>
      </c>
      <c r="H116" s="8">
        <v>75.6</v>
      </c>
      <c r="I116" s="16">
        <v>64.62166666666667</v>
      </c>
      <c r="J116" s="16" t="s">
        <v>15</v>
      </c>
      <c r="K116" s="16" t="s">
        <v>15</v>
      </c>
      <c r="L116" s="24"/>
    </row>
    <row r="117" spans="1:12" ht="21.75" customHeight="1">
      <c r="A117" s="6">
        <v>115</v>
      </c>
      <c r="B117" s="7">
        <v>405</v>
      </c>
      <c r="C117" s="6" t="s">
        <v>76</v>
      </c>
      <c r="D117" s="6" t="str">
        <f>"蒋劲松"</f>
        <v>蒋劲松</v>
      </c>
      <c r="E117" s="6" t="str">
        <f>"男"</f>
        <v>男</v>
      </c>
      <c r="F117" s="6" t="s">
        <v>77</v>
      </c>
      <c r="G117" s="8">
        <v>90.1</v>
      </c>
      <c r="H117" s="8">
        <v>76.5</v>
      </c>
      <c r="I117" s="16">
        <v>75.50833333333333</v>
      </c>
      <c r="J117" s="16" t="s">
        <v>15</v>
      </c>
      <c r="K117" s="16" t="s">
        <v>15</v>
      </c>
      <c r="L117" s="24"/>
    </row>
    <row r="118" spans="1:12" ht="21.75" customHeight="1">
      <c r="A118" s="6">
        <v>116</v>
      </c>
      <c r="B118" s="7">
        <v>406</v>
      </c>
      <c r="C118" s="6" t="s">
        <v>78</v>
      </c>
      <c r="D118" s="6" t="str">
        <f>"姜楠"</f>
        <v>姜楠</v>
      </c>
      <c r="E118" s="6" t="str">
        <f aca="true" t="shared" si="19" ref="E118:E124">"女"</f>
        <v>女</v>
      </c>
      <c r="F118" s="6" t="s">
        <v>79</v>
      </c>
      <c r="G118" s="8">
        <v>82.80000000000001</v>
      </c>
      <c r="H118" s="8">
        <v>87.6</v>
      </c>
      <c r="I118" s="16">
        <v>74.58</v>
      </c>
      <c r="J118" s="16" t="s">
        <v>15</v>
      </c>
      <c r="K118" s="16" t="s">
        <v>15</v>
      </c>
      <c r="L118" s="24"/>
    </row>
    <row r="119" spans="1:12" ht="21.75" customHeight="1">
      <c r="A119" s="6">
        <v>117</v>
      </c>
      <c r="B119" s="7">
        <v>407</v>
      </c>
      <c r="C119" s="6" t="s">
        <v>80</v>
      </c>
      <c r="D119" s="6" t="str">
        <f>"赵雪林"</f>
        <v>赵雪林</v>
      </c>
      <c r="E119" s="6" t="str">
        <f t="shared" si="19"/>
        <v>女</v>
      </c>
      <c r="F119" s="6" t="s">
        <v>81</v>
      </c>
      <c r="G119" s="8">
        <v>61.2</v>
      </c>
      <c r="H119" s="8">
        <v>80.3</v>
      </c>
      <c r="I119" s="16">
        <v>59.790000000000006</v>
      </c>
      <c r="J119" s="16" t="s">
        <v>15</v>
      </c>
      <c r="K119" s="16" t="s">
        <v>15</v>
      </c>
      <c r="L119" s="24"/>
    </row>
    <row r="120" spans="1:12" ht="21.75" customHeight="1">
      <c r="A120" s="6">
        <v>118</v>
      </c>
      <c r="B120" s="7">
        <v>408</v>
      </c>
      <c r="C120" s="6" t="s">
        <v>30</v>
      </c>
      <c r="D120" s="6" t="str">
        <f>"江雨静"</f>
        <v>江雨静</v>
      </c>
      <c r="E120" s="6" t="str">
        <f t="shared" si="19"/>
        <v>女</v>
      </c>
      <c r="F120" s="6" t="s">
        <v>82</v>
      </c>
      <c r="G120" s="8">
        <v>74.9</v>
      </c>
      <c r="H120" s="8">
        <v>84.8</v>
      </c>
      <c r="I120" s="16">
        <v>69.13166666666666</v>
      </c>
      <c r="J120" s="16" t="s">
        <v>15</v>
      </c>
      <c r="K120" s="16" t="s">
        <v>15</v>
      </c>
      <c r="L120" s="24"/>
    </row>
    <row r="121" spans="1:12" ht="21.75" customHeight="1">
      <c r="A121" s="6">
        <v>119</v>
      </c>
      <c r="B121" s="7">
        <v>408</v>
      </c>
      <c r="C121" s="6" t="s">
        <v>30</v>
      </c>
      <c r="D121" s="6" t="str">
        <f>"林敏"</f>
        <v>林敏</v>
      </c>
      <c r="E121" s="6" t="str">
        <f t="shared" si="19"/>
        <v>女</v>
      </c>
      <c r="F121" s="6" t="s">
        <v>83</v>
      </c>
      <c r="G121" s="8">
        <v>75.9</v>
      </c>
      <c r="H121" s="8">
        <v>79.2</v>
      </c>
      <c r="I121" s="16">
        <v>68.03500000000001</v>
      </c>
      <c r="J121" s="16" t="s">
        <v>15</v>
      </c>
      <c r="K121" s="16" t="s">
        <v>15</v>
      </c>
      <c r="L121" s="24"/>
    </row>
    <row r="122" spans="1:12" ht="21.75" customHeight="1">
      <c r="A122" s="6">
        <v>120</v>
      </c>
      <c r="B122" s="7">
        <v>409</v>
      </c>
      <c r="C122" s="6" t="s">
        <v>30</v>
      </c>
      <c r="D122" s="6" t="str">
        <f>"潘凯璇"</f>
        <v>潘凯璇</v>
      </c>
      <c r="E122" s="6" t="str">
        <f t="shared" si="19"/>
        <v>女</v>
      </c>
      <c r="F122" s="6" t="s">
        <v>84</v>
      </c>
      <c r="G122" s="8">
        <v>83.80000000000001</v>
      </c>
      <c r="H122" s="8">
        <v>81</v>
      </c>
      <c r="I122" s="16">
        <v>73.18333333333334</v>
      </c>
      <c r="J122" s="16" t="s">
        <v>15</v>
      </c>
      <c r="K122" s="16" t="s">
        <v>15</v>
      </c>
      <c r="L122" s="24"/>
    </row>
    <row r="123" spans="1:12" ht="21.75" customHeight="1">
      <c r="A123" s="6">
        <v>121</v>
      </c>
      <c r="B123" s="7">
        <v>409</v>
      </c>
      <c r="C123" s="6" t="s">
        <v>30</v>
      </c>
      <c r="D123" s="6" t="str">
        <f>"许洁"</f>
        <v>许洁</v>
      </c>
      <c r="E123" s="6" t="str">
        <f t="shared" si="19"/>
        <v>女</v>
      </c>
      <c r="F123" s="6" t="s">
        <v>85</v>
      </c>
      <c r="G123" s="8">
        <v>81.9</v>
      </c>
      <c r="H123" s="8">
        <v>77</v>
      </c>
      <c r="I123" s="16">
        <v>70.875</v>
      </c>
      <c r="J123" s="16" t="s">
        <v>15</v>
      </c>
      <c r="K123" s="16" t="s">
        <v>15</v>
      </c>
      <c r="L123" s="24"/>
    </row>
    <row r="124" spans="1:12" ht="21.75" customHeight="1">
      <c r="A124" s="6">
        <v>122</v>
      </c>
      <c r="B124" s="7">
        <v>410</v>
      </c>
      <c r="C124" s="6" t="s">
        <v>66</v>
      </c>
      <c r="D124" s="6" t="str">
        <f>"廖莲莲"</f>
        <v>廖莲莲</v>
      </c>
      <c r="E124" s="6" t="str">
        <f t="shared" si="19"/>
        <v>女</v>
      </c>
      <c r="F124" s="6" t="s">
        <v>86</v>
      </c>
      <c r="G124" s="8">
        <v>96.7</v>
      </c>
      <c r="H124" s="8">
        <v>77.9</v>
      </c>
      <c r="I124" s="16">
        <v>79.77833333333334</v>
      </c>
      <c r="J124" s="16" t="s">
        <v>15</v>
      </c>
      <c r="K124" s="16" t="s">
        <v>15</v>
      </c>
      <c r="L124" s="24"/>
    </row>
  </sheetData>
  <sheetProtection/>
  <autoFilter ref="A2:L124"/>
  <mergeCells count="1">
    <mergeCell ref="A1:L1"/>
  </mergeCells>
  <conditionalFormatting sqref="D35:D68">
    <cfRule type="expression" priority="2" dxfId="0" stopIfTrue="1">
      <formula>AND(COUNTIF($D$35:$D$68,D35)&gt;1,NOT(ISBLANK(D35)))</formula>
    </cfRule>
  </conditionalFormatting>
  <conditionalFormatting sqref="I69:I94 I96:I112">
    <cfRule type="expression" priority="1" dxfId="0" stopIfTrue="1">
      <formula>AND(COUNTIF($I$69:$I$94,I69)+COUNTIF($I$96:$I$112,I69)&gt;1,NOT(ISBLANK(I69)))</formula>
    </cfRule>
  </conditionalFormatting>
  <printOptions/>
  <pageMargins left="0.75" right="0.75" top="1" bottom="1" header="0.5118055555555555" footer="0.5118055555555555"/>
  <pageSetup fitToHeight="0" fitToWidth="1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49629</cp:lastModifiedBy>
  <dcterms:created xsi:type="dcterms:W3CDTF">2021-07-26T01:36:20Z</dcterms:created>
  <dcterms:modified xsi:type="dcterms:W3CDTF">2021-07-27T06:55:28Z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